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drawings/drawing4.xml" ContentType="application/vnd.openxmlformats-officedocument.drawing+xml"/>
  <Override PartName="/xl/tables/table5.xml" ContentType="application/vnd.openxmlformats-officedocument.spreadsheetml.table+xml"/>
  <Override PartName="/xl/drawings/drawing5.xml" ContentType="application/vnd.openxmlformats-officedocument.drawing+xml"/>
  <Override PartName="/xl/tables/table6.xml" ContentType="application/vnd.openxmlformats-officedocument.spreadsheetml.table+xml"/>
  <Override PartName="/xl/drawings/drawing6.xml" ContentType="application/vnd.openxmlformats-officedocument.drawing+xml"/>
  <Override PartName="/xl/tables/table7.xml" ContentType="application/vnd.openxmlformats-officedocument.spreadsheetml.table+xml"/>
  <Override PartName="/xl/drawings/drawing7.xml" ContentType="application/vnd.openxmlformats-officedocument.drawing+xml"/>
  <Override PartName="/xl/tables/table8.xml" ContentType="application/vnd.openxmlformats-officedocument.spreadsheetml.table+xml"/>
  <Override PartName="/xl/drawings/drawing8.xml" ContentType="application/vnd.openxmlformats-officedocument.drawing+xml"/>
  <Override PartName="/xl/tables/table9.xml" ContentType="application/vnd.openxmlformats-officedocument.spreadsheetml.table+xml"/>
  <Override PartName="/xl/drawings/drawing9.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drawings/drawing10.xml" ContentType="application/vnd.openxmlformats-officedocument.drawing+xml"/>
  <Override PartName="/xl/ctrlProps/ctrlProp1.xml" ContentType="application/vnd.ms-excel.controlproperties+xml"/>
  <Override PartName="/xl/tables/table1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ate1904="1" codeName="ThisWorkbook"/>
  <mc:AlternateContent xmlns:mc="http://schemas.openxmlformats.org/markup-compatibility/2006">
    <mc:Choice Requires="x15">
      <x15ac:absPath xmlns:x15ac="http://schemas.microsoft.com/office/spreadsheetml/2010/11/ac" url="U:\Trav\Correspondance\Buena Madre - catequesis\Catequesis 2019\"/>
    </mc:Choice>
  </mc:AlternateContent>
  <bookViews>
    <workbookView xWindow="0" yWindow="0" windowWidth="28800" windowHeight="12435" tabRatio="833" firstSheet="1" activeTab="11"/>
  </bookViews>
  <sheets>
    <sheet name="Comment utiliser ce modèle" sheetId="9" r:id="rId1"/>
    <sheet name="lista catequizandos" sheetId="5" r:id="rId2"/>
    <sheet name="Primeros pasos" sheetId="42" r:id="rId3"/>
    <sheet name="Caminando con Jesús" sheetId="30" r:id="rId4"/>
    <sheet name="Amigos de Jesús" sheetId="25" r:id="rId5"/>
    <sheet name="PC-GP1" sheetId="37" r:id="rId6"/>
    <sheet name="PC-GP2" sheetId="39" r:id="rId7"/>
    <sheet name="PC-GP3" sheetId="41" r:id="rId8"/>
    <sheet name="PC-GP4" sheetId="40" r:id="rId9"/>
    <sheet name="Confirmación" sheetId="33" r:id="rId10"/>
    <sheet name="Confirmación adultos" sheetId="32" r:id="rId11"/>
    <sheet name="Padres de familia" sheetId="45" r:id="rId12"/>
    <sheet name="Rapport de présence des élèves" sheetId="6" r:id="rId13"/>
    <sheet name="Août" sheetId="4" r:id="rId14"/>
  </sheets>
  <definedNames>
    <definedName name="AnnéeCivile">Août!$AM$1</definedName>
    <definedName name="Code1">Août!$D$3</definedName>
    <definedName name="Code2">Août!$H$3</definedName>
    <definedName name="Code3">Août!$L$3</definedName>
    <definedName name="Code4">Août!$P$3</definedName>
    <definedName name="Code5">Août!$T$3</definedName>
    <definedName name="IDÉtudiant" localSheetId="4">ListeÉtudiants[Grupo]</definedName>
    <definedName name="IDÉtudiant" localSheetId="3">ListeÉtudiants[Grupo]</definedName>
    <definedName name="IDÉtudiant" localSheetId="9">ListeÉtudiants[Grupo]</definedName>
    <definedName name="IDÉtudiant" localSheetId="10">ListeÉtudiants[Grupo]</definedName>
    <definedName name="IDÉtudiant" localSheetId="11">ListeÉtudiants[Grupo]</definedName>
    <definedName name="IDÉtudiant" localSheetId="5">ListeÉtudiants[Grupo]</definedName>
    <definedName name="IDÉtudiant" localSheetId="6">ListeÉtudiants[Grupo]</definedName>
    <definedName name="IDÉtudiant" localSheetId="7">ListeÉtudiants[Grupo]</definedName>
    <definedName name="IDÉtudiant" localSheetId="8">ListeÉtudiants[Grupo]</definedName>
    <definedName name="IDÉtudiant" localSheetId="2">ListeÉtudiants[Grupo]</definedName>
    <definedName name="IDÉtudiant">ListeÉtudiants[Grupo]</definedName>
    <definedName name="_xlnm.Print_Titles" localSheetId="11">'Padres de familia'!$5:$6</definedName>
    <definedName name="NomÉtudiant" localSheetId="11">#REF!</definedName>
    <definedName name="NomÉtudiant">#REF!</definedName>
    <definedName name="RechercheÉtudiant">'Rapport de présence des élèves'!$B$4</definedName>
    <definedName name="TexteCléDeCouleur">Août!$C$3</definedName>
    <definedName name="TexteCode1">Août!$E$3</definedName>
    <definedName name="TexteCode2">Août!$I$3</definedName>
    <definedName name="TexteCode3">Août!$M$3</definedName>
    <definedName name="TexteCode4">Août!$Q$3</definedName>
    <definedName name="TexteCode5">Août!$U$3</definedName>
    <definedName name="Titres_à_imprimer" localSheetId="1">'lista catequizandos'!$A:$F,'lista catequizandos'!$3:$3</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I17" i="37" l="1"/>
  <c r="AJ17" i="37"/>
  <c r="AK17" i="37"/>
  <c r="AM17" i="37" s="1"/>
  <c r="AL17" i="37"/>
  <c r="AI16" i="37"/>
  <c r="AJ16" i="37"/>
  <c r="AM16" i="37" s="1"/>
  <c r="AK16" i="37"/>
  <c r="AL16" i="37"/>
  <c r="AI20" i="33"/>
  <c r="AJ20" i="33"/>
  <c r="AK20" i="33"/>
  <c r="AL20" i="33"/>
  <c r="C44" i="5"/>
  <c r="C42" i="5"/>
  <c r="C43" i="5"/>
  <c r="AM20" i="33" l="1"/>
  <c r="AI19" i="33"/>
  <c r="AJ19" i="33"/>
  <c r="AK19" i="33"/>
  <c r="AL19" i="33"/>
  <c r="AI17" i="40"/>
  <c r="AJ17" i="40"/>
  <c r="AM17" i="40" s="1"/>
  <c r="AK17" i="40"/>
  <c r="AL17" i="40"/>
  <c r="AI18" i="41"/>
  <c r="AJ18" i="41"/>
  <c r="AM18" i="41" s="1"/>
  <c r="AK18" i="41"/>
  <c r="AL18" i="41"/>
  <c r="AI17" i="41"/>
  <c r="AJ17" i="41"/>
  <c r="AM17" i="41" s="1"/>
  <c r="AK17" i="41"/>
  <c r="AL17" i="41"/>
  <c r="AI17" i="25"/>
  <c r="AJ17" i="25"/>
  <c r="AK17" i="25"/>
  <c r="AL17" i="25"/>
  <c r="AI17" i="30"/>
  <c r="AJ17" i="30"/>
  <c r="AK17" i="30"/>
  <c r="AM17" i="30" s="1"/>
  <c r="AL17" i="30"/>
  <c r="AI16" i="30"/>
  <c r="AJ16" i="30"/>
  <c r="AK16" i="30"/>
  <c r="AL16" i="30"/>
  <c r="AI18" i="33"/>
  <c r="AJ18" i="33"/>
  <c r="AK18" i="33"/>
  <c r="AL18" i="33"/>
  <c r="AI17" i="33"/>
  <c r="AJ17" i="33"/>
  <c r="AK17" i="33"/>
  <c r="AL17" i="33"/>
  <c r="AI16" i="33"/>
  <c r="AJ16" i="33"/>
  <c r="AK16" i="33"/>
  <c r="AM16" i="33" s="1"/>
  <c r="AL16" i="33"/>
  <c r="AI17" i="32"/>
  <c r="AJ17" i="32"/>
  <c r="AK17" i="32"/>
  <c r="AM17" i="32" s="1"/>
  <c r="AL17" i="32"/>
  <c r="AI16" i="32"/>
  <c r="AJ16" i="32"/>
  <c r="AM16" i="32" s="1"/>
  <c r="AK16" i="32"/>
  <c r="AL16" i="32"/>
  <c r="AI15" i="32"/>
  <c r="AJ15" i="32"/>
  <c r="AK15" i="32"/>
  <c r="AL15" i="32"/>
  <c r="AM19" i="33" l="1"/>
  <c r="AM15" i="32"/>
  <c r="AM18" i="33"/>
  <c r="AM17" i="25"/>
  <c r="AM16" i="30"/>
  <c r="AM17" i="33"/>
  <c r="AI14" i="32"/>
  <c r="AJ14" i="32"/>
  <c r="AK14" i="32"/>
  <c r="AL14" i="32"/>
  <c r="AM14" i="32" l="1"/>
  <c r="A18" i="5"/>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F78" i="45" l="1"/>
  <c r="G78" i="45"/>
  <c r="H78" i="45"/>
  <c r="I78" i="45"/>
  <c r="AJ78" i="45"/>
  <c r="AI78" i="45"/>
  <c r="AH78" i="45"/>
  <c r="AG78" i="45"/>
  <c r="AF78" i="45"/>
  <c r="AE78" i="45"/>
  <c r="AD78" i="45"/>
  <c r="AC78" i="45"/>
  <c r="AB78" i="45"/>
  <c r="AA78" i="45"/>
  <c r="Z78" i="45"/>
  <c r="Y78" i="45"/>
  <c r="X78" i="45"/>
  <c r="W78" i="45"/>
  <c r="V78" i="45"/>
  <c r="U78" i="45"/>
  <c r="T78" i="45"/>
  <c r="S78" i="45"/>
  <c r="R78" i="45"/>
  <c r="Q78" i="45"/>
  <c r="P78" i="45"/>
  <c r="O78" i="45"/>
  <c r="N78" i="45"/>
  <c r="M78" i="45"/>
  <c r="L78" i="45"/>
  <c r="K78" i="45"/>
  <c r="J78" i="45"/>
  <c r="A8" i="45"/>
  <c r="A9" i="45" s="1"/>
  <c r="A10" i="45" s="1"/>
  <c r="A11" i="45" s="1"/>
  <c r="A12" i="45" s="1"/>
  <c r="A13" i="45" s="1"/>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V3" i="45"/>
  <c r="R3" i="45"/>
  <c r="N3" i="45"/>
  <c r="J3" i="45"/>
  <c r="F3" i="45"/>
  <c r="AN78" i="45" l="1"/>
  <c r="AK78" i="45"/>
  <c r="AM78" i="45"/>
  <c r="AL78" i="45"/>
  <c r="AH13" i="42"/>
  <c r="AG13" i="42"/>
  <c r="AF13" i="42"/>
  <c r="AE13" i="42"/>
  <c r="AD13" i="42"/>
  <c r="AC13" i="42"/>
  <c r="AB13" i="42"/>
  <c r="AA13" i="42"/>
  <c r="Z13" i="42"/>
  <c r="Y13" i="42"/>
  <c r="X13" i="42"/>
  <c r="W13" i="42"/>
  <c r="V13" i="42"/>
  <c r="U13" i="42"/>
  <c r="T13" i="42"/>
  <c r="S13" i="42"/>
  <c r="R13" i="42"/>
  <c r="Q13" i="42"/>
  <c r="P13" i="42"/>
  <c r="O13" i="42"/>
  <c r="N13" i="42"/>
  <c r="M13" i="42"/>
  <c r="L13" i="42"/>
  <c r="K13" i="42"/>
  <c r="J13" i="42"/>
  <c r="I13" i="42"/>
  <c r="H13" i="42"/>
  <c r="G13" i="42"/>
  <c r="F13" i="42"/>
  <c r="E13" i="42"/>
  <c r="D13" i="42"/>
  <c r="AL12" i="42"/>
  <c r="AK12" i="42"/>
  <c r="AJ12" i="42"/>
  <c r="AI12" i="42"/>
  <c r="AL11" i="42"/>
  <c r="AK11" i="42"/>
  <c r="AJ11" i="42"/>
  <c r="AI11" i="42"/>
  <c r="AL10" i="42"/>
  <c r="AK10" i="42"/>
  <c r="AJ10" i="42"/>
  <c r="AI10" i="42"/>
  <c r="AL9" i="42"/>
  <c r="AK9" i="42"/>
  <c r="AJ9" i="42"/>
  <c r="AI9" i="42"/>
  <c r="AL8" i="42"/>
  <c r="AK8" i="42"/>
  <c r="AJ8" i="42"/>
  <c r="AI8" i="42"/>
  <c r="A8" i="42"/>
  <c r="A9" i="42" s="1"/>
  <c r="A10" i="42" s="1"/>
  <c r="AL7" i="42"/>
  <c r="AK7" i="42"/>
  <c r="AJ7" i="42"/>
  <c r="AI7" i="42"/>
  <c r="T3" i="42"/>
  <c r="P3" i="42"/>
  <c r="L3" i="42"/>
  <c r="H3" i="42"/>
  <c r="D3" i="42"/>
  <c r="D4" i="6"/>
  <c r="A8" i="40"/>
  <c r="A9" i="40" s="1"/>
  <c r="A10" i="40" s="1"/>
  <c r="A11" i="40" s="1"/>
  <c r="A12" i="40" s="1"/>
  <c r="A13" i="40" s="1"/>
  <c r="A14" i="40" s="1"/>
  <c r="A15" i="40" s="1"/>
  <c r="A9" i="41"/>
  <c r="A10" i="41" s="1"/>
  <c r="A11" i="41" s="1"/>
  <c r="A12" i="41" s="1"/>
  <c r="A13" i="41" s="1"/>
  <c r="A14" i="41" s="1"/>
  <c r="A15" i="41" s="1"/>
  <c r="A16" i="41" s="1"/>
  <c r="A9" i="39"/>
  <c r="A10" i="39" s="1"/>
  <c r="A11" i="39" s="1"/>
  <c r="A12" i="39" s="1"/>
  <c r="A13" i="39" s="1"/>
  <c r="A14" i="39" s="1"/>
  <c r="A15" i="39" s="1"/>
  <c r="A16" i="39" s="1"/>
  <c r="A8" i="33"/>
  <c r="A9" i="33" s="1"/>
  <c r="A10" i="33" s="1"/>
  <c r="A11" i="33" s="1"/>
  <c r="A12" i="33" s="1"/>
  <c r="A13" i="33" s="1"/>
  <c r="A14" i="33" s="1"/>
  <c r="A15" i="33" s="1"/>
  <c r="A16" i="33" s="1"/>
  <c r="A17" i="33" s="1"/>
  <c r="A8" i="32"/>
  <c r="A9" i="32" s="1"/>
  <c r="A10" i="32" s="1"/>
  <c r="A11" i="32" s="1"/>
  <c r="A12" i="32" s="1"/>
  <c r="A13" i="32" s="1"/>
  <c r="A14" i="32" s="1"/>
  <c r="A8" i="30"/>
  <c r="A9" i="30" s="1"/>
  <c r="A10" i="30" s="1"/>
  <c r="A11" i="30" s="1"/>
  <c r="A12" i="30" s="1"/>
  <c r="A13" i="30" s="1"/>
  <c r="A14" i="30" s="1"/>
  <c r="A8" i="25"/>
  <c r="A9" i="25" s="1"/>
  <c r="A10" i="25" s="1"/>
  <c r="A11" i="25" s="1"/>
  <c r="A12" i="25" s="1"/>
  <c r="A13" i="25" s="1"/>
  <c r="A14" i="25" s="1"/>
  <c r="A8" i="37"/>
  <c r="A9" i="37" s="1"/>
  <c r="A10" i="37" s="1"/>
  <c r="A11" i="37" s="1"/>
  <c r="A12" i="37" s="1"/>
  <c r="A13" i="37" s="1"/>
  <c r="A14" i="37" s="1"/>
  <c r="AI7" i="41"/>
  <c r="AJ7" i="41"/>
  <c r="AK7" i="41"/>
  <c r="AL7" i="41"/>
  <c r="AH19" i="41"/>
  <c r="AG19" i="41"/>
  <c r="AF19" i="41"/>
  <c r="AE19" i="41"/>
  <c r="AD19" i="41"/>
  <c r="AC19" i="41"/>
  <c r="AB19" i="41"/>
  <c r="AA19" i="41"/>
  <c r="Z19" i="41"/>
  <c r="Y19" i="41"/>
  <c r="X19" i="41"/>
  <c r="W19" i="41"/>
  <c r="V19" i="41"/>
  <c r="U19" i="41"/>
  <c r="T19" i="41"/>
  <c r="S19" i="41"/>
  <c r="R19" i="41"/>
  <c r="Q19" i="41"/>
  <c r="P19" i="41"/>
  <c r="O19" i="41"/>
  <c r="N19" i="41"/>
  <c r="M19" i="41"/>
  <c r="L19" i="41"/>
  <c r="K19" i="41"/>
  <c r="J19" i="41"/>
  <c r="I19" i="41"/>
  <c r="H19" i="41"/>
  <c r="G19" i="41"/>
  <c r="F19" i="41"/>
  <c r="E19" i="41"/>
  <c r="D19" i="41"/>
  <c r="AL16" i="41"/>
  <c r="AK16" i="41"/>
  <c r="AJ16" i="41"/>
  <c r="AI16" i="41"/>
  <c r="AL15" i="41"/>
  <c r="AK15" i="41"/>
  <c r="AJ15" i="41"/>
  <c r="AI15" i="41"/>
  <c r="AL14" i="41"/>
  <c r="AK14" i="41"/>
  <c r="AJ14" i="41"/>
  <c r="AI14" i="41"/>
  <c r="AL13" i="41"/>
  <c r="AK13" i="41"/>
  <c r="AJ13" i="41"/>
  <c r="AI13" i="41"/>
  <c r="AL12" i="41"/>
  <c r="AK12" i="41"/>
  <c r="AJ12" i="41"/>
  <c r="AI12" i="41"/>
  <c r="AL11" i="41"/>
  <c r="AK11" i="41"/>
  <c r="AJ11" i="41"/>
  <c r="AI11" i="41"/>
  <c r="AL10" i="41"/>
  <c r="AK10" i="41"/>
  <c r="AJ10" i="41"/>
  <c r="AI10" i="41"/>
  <c r="AL9" i="41"/>
  <c r="AK9" i="41"/>
  <c r="AJ9" i="41"/>
  <c r="AI9" i="41"/>
  <c r="AL8" i="41"/>
  <c r="AK8" i="41"/>
  <c r="AJ8" i="41"/>
  <c r="AI8" i="41"/>
  <c r="T3" i="41"/>
  <c r="P3" i="41"/>
  <c r="L3" i="41"/>
  <c r="H3" i="41"/>
  <c r="D3" i="41"/>
  <c r="AI17" i="39"/>
  <c r="AI18" i="39"/>
  <c r="AI19" i="39"/>
  <c r="AJ17" i="39"/>
  <c r="AJ18" i="39"/>
  <c r="AJ19" i="39"/>
  <c r="AK17" i="39"/>
  <c r="AK18" i="39"/>
  <c r="AK19" i="39"/>
  <c r="AL17" i="39"/>
  <c r="AL18" i="39"/>
  <c r="AL19" i="39"/>
  <c r="AH18" i="40"/>
  <c r="AG18" i="40"/>
  <c r="AF18" i="40"/>
  <c r="AE18" i="40"/>
  <c r="AD18" i="40"/>
  <c r="AC18" i="40"/>
  <c r="AB18" i="40"/>
  <c r="AA18" i="40"/>
  <c r="Z18" i="40"/>
  <c r="Y18" i="40"/>
  <c r="X18" i="40"/>
  <c r="W18" i="40"/>
  <c r="V18" i="40"/>
  <c r="U18" i="40"/>
  <c r="T18" i="40"/>
  <c r="S18" i="40"/>
  <c r="R18" i="40"/>
  <c r="Q18" i="40"/>
  <c r="P18" i="40"/>
  <c r="O18" i="40"/>
  <c r="N18" i="40"/>
  <c r="M18" i="40"/>
  <c r="L18" i="40"/>
  <c r="K18" i="40"/>
  <c r="J18" i="40"/>
  <c r="I18" i="40"/>
  <c r="H18" i="40"/>
  <c r="G18" i="40"/>
  <c r="F18" i="40"/>
  <c r="E18" i="40"/>
  <c r="D18" i="40"/>
  <c r="AL16" i="40"/>
  <c r="AK16" i="40"/>
  <c r="AJ16" i="40"/>
  <c r="AI16" i="40"/>
  <c r="AL15" i="40"/>
  <c r="AK15" i="40"/>
  <c r="AJ15" i="40"/>
  <c r="AI15" i="40"/>
  <c r="AL14" i="40"/>
  <c r="AK14" i="40"/>
  <c r="AJ14" i="40"/>
  <c r="AI14" i="40"/>
  <c r="AL13" i="40"/>
  <c r="AK13" i="40"/>
  <c r="AJ13" i="40"/>
  <c r="AI13" i="40"/>
  <c r="AL12" i="40"/>
  <c r="AK12" i="40"/>
  <c r="AJ12" i="40"/>
  <c r="AI12" i="40"/>
  <c r="AL11" i="40"/>
  <c r="AK11" i="40"/>
  <c r="AJ11" i="40"/>
  <c r="AI11" i="40"/>
  <c r="AL10" i="40"/>
  <c r="AK10" i="40"/>
  <c r="AJ10" i="40"/>
  <c r="AI10" i="40"/>
  <c r="AL9" i="40"/>
  <c r="AK9" i="40"/>
  <c r="AJ9" i="40"/>
  <c r="AI9" i="40"/>
  <c r="AL8" i="40"/>
  <c r="AK8" i="40"/>
  <c r="AJ8" i="40"/>
  <c r="AI8" i="40"/>
  <c r="AL7" i="40"/>
  <c r="AK7" i="40"/>
  <c r="AJ7" i="40"/>
  <c r="AI7" i="40"/>
  <c r="T3" i="40"/>
  <c r="P3" i="40"/>
  <c r="L3" i="40"/>
  <c r="H3" i="40"/>
  <c r="D3" i="40"/>
  <c r="AH20" i="39"/>
  <c r="AG20" i="39"/>
  <c r="AF20" i="39"/>
  <c r="AE20" i="39"/>
  <c r="AD20" i="39"/>
  <c r="AC20" i="39"/>
  <c r="AB20" i="39"/>
  <c r="AA20" i="39"/>
  <c r="Z20" i="39"/>
  <c r="Y20" i="39"/>
  <c r="X20" i="39"/>
  <c r="W20" i="39"/>
  <c r="V20" i="39"/>
  <c r="U20" i="39"/>
  <c r="T20" i="39"/>
  <c r="S20" i="39"/>
  <c r="R20" i="39"/>
  <c r="Q20" i="39"/>
  <c r="P20" i="39"/>
  <c r="O20" i="39"/>
  <c r="N20" i="39"/>
  <c r="M20" i="39"/>
  <c r="L20" i="39"/>
  <c r="K20" i="39"/>
  <c r="J20" i="39"/>
  <c r="I20" i="39"/>
  <c r="H20" i="39"/>
  <c r="G20" i="39"/>
  <c r="F20" i="39"/>
  <c r="E20" i="39"/>
  <c r="D20" i="39"/>
  <c r="AL16" i="39"/>
  <c r="AK16" i="39"/>
  <c r="AJ16" i="39"/>
  <c r="AI16" i="39"/>
  <c r="AL15" i="39"/>
  <c r="AK15" i="39"/>
  <c r="AJ15" i="39"/>
  <c r="AI15" i="39"/>
  <c r="AL14" i="39"/>
  <c r="AK14" i="39"/>
  <c r="AJ14" i="39"/>
  <c r="AI14" i="39"/>
  <c r="AL13" i="39"/>
  <c r="AK13" i="39"/>
  <c r="AJ13" i="39"/>
  <c r="AI13" i="39"/>
  <c r="AL12" i="39"/>
  <c r="AK12" i="39"/>
  <c r="AJ12" i="39"/>
  <c r="AI12" i="39"/>
  <c r="AL11" i="39"/>
  <c r="AK11" i="39"/>
  <c r="AJ11" i="39"/>
  <c r="AI11" i="39"/>
  <c r="AL10" i="39"/>
  <c r="AK10" i="39"/>
  <c r="AJ10" i="39"/>
  <c r="AI10" i="39"/>
  <c r="AL9" i="39"/>
  <c r="AK9" i="39"/>
  <c r="AJ9" i="39"/>
  <c r="AI9" i="39"/>
  <c r="AL8" i="39"/>
  <c r="AK8" i="39"/>
  <c r="AJ8" i="39"/>
  <c r="AI8" i="39"/>
  <c r="AL7" i="39"/>
  <c r="AK7" i="39"/>
  <c r="AJ7" i="39"/>
  <c r="AI7" i="39"/>
  <c r="T3" i="39"/>
  <c r="P3" i="39"/>
  <c r="L3" i="39"/>
  <c r="H3" i="39"/>
  <c r="D3" i="39"/>
  <c r="AI15" i="37"/>
  <c r="AJ15" i="37"/>
  <c r="AK15" i="37"/>
  <c r="AL15" i="37"/>
  <c r="AI14" i="37"/>
  <c r="AJ14" i="37"/>
  <c r="AK14" i="37"/>
  <c r="AL14" i="37"/>
  <c r="AI15" i="30"/>
  <c r="AJ15" i="30"/>
  <c r="AK15" i="30"/>
  <c r="AL15" i="30"/>
  <c r="AI16" i="25"/>
  <c r="AJ16" i="25"/>
  <c r="AK16" i="25"/>
  <c r="AL16" i="25"/>
  <c r="AI15" i="25"/>
  <c r="AJ15" i="25"/>
  <c r="AK15" i="25"/>
  <c r="AL15" i="25"/>
  <c r="AI14" i="25"/>
  <c r="AJ14" i="25"/>
  <c r="AK14" i="25"/>
  <c r="AL14" i="25"/>
  <c r="AI14" i="33"/>
  <c r="AI15" i="33"/>
  <c r="AJ14" i="33"/>
  <c r="AJ15" i="33"/>
  <c r="AK14" i="33"/>
  <c r="AK15" i="33"/>
  <c r="AL14" i="33"/>
  <c r="AL15" i="33"/>
  <c r="AI13" i="30"/>
  <c r="AI14" i="30"/>
  <c r="AJ13" i="30"/>
  <c r="AJ14" i="30"/>
  <c r="AK13" i="30"/>
  <c r="AK14" i="30"/>
  <c r="AL13" i="30"/>
  <c r="AL14" i="30"/>
  <c r="AH18" i="37"/>
  <c r="AG18" i="37"/>
  <c r="AF18" i="37"/>
  <c r="AE18" i="37"/>
  <c r="AD18" i="37"/>
  <c r="AC18" i="37"/>
  <c r="AB18" i="37"/>
  <c r="AA18" i="37"/>
  <c r="Z18" i="37"/>
  <c r="Y18" i="37"/>
  <c r="X18" i="37"/>
  <c r="W18" i="37"/>
  <c r="V18" i="37"/>
  <c r="U18" i="37"/>
  <c r="T18" i="37"/>
  <c r="S18" i="37"/>
  <c r="R18" i="37"/>
  <c r="Q18" i="37"/>
  <c r="P18" i="37"/>
  <c r="O18" i="37"/>
  <c r="N18" i="37"/>
  <c r="M18" i="37"/>
  <c r="L18" i="37"/>
  <c r="K18" i="37"/>
  <c r="J18" i="37"/>
  <c r="I18" i="37"/>
  <c r="H18" i="37"/>
  <c r="G18" i="37"/>
  <c r="F18" i="37"/>
  <c r="E18" i="37"/>
  <c r="D18" i="37"/>
  <c r="AL13" i="37"/>
  <c r="AK13" i="37"/>
  <c r="AJ13" i="37"/>
  <c r="AI13" i="37"/>
  <c r="AL12" i="37"/>
  <c r="AK12" i="37"/>
  <c r="AJ12" i="37"/>
  <c r="AI12" i="37"/>
  <c r="AL11" i="37"/>
  <c r="AK11" i="37"/>
  <c r="AJ11" i="37"/>
  <c r="AI11" i="37"/>
  <c r="AL10" i="37"/>
  <c r="AK10" i="37"/>
  <c r="AJ10" i="37"/>
  <c r="AI10" i="37"/>
  <c r="AL9" i="37"/>
  <c r="AK9" i="37"/>
  <c r="AJ9" i="37"/>
  <c r="AI9" i="37"/>
  <c r="AL8" i="37"/>
  <c r="AK8" i="37"/>
  <c r="AJ8" i="37"/>
  <c r="AI8" i="37"/>
  <c r="AL7" i="37"/>
  <c r="AK7" i="37"/>
  <c r="AJ7" i="37"/>
  <c r="AI7" i="37"/>
  <c r="T3" i="37"/>
  <c r="P3" i="37"/>
  <c r="L3" i="37"/>
  <c r="H3" i="37"/>
  <c r="D3" i="37"/>
  <c r="AH21" i="33"/>
  <c r="AG21" i="33"/>
  <c r="AF21" i="33"/>
  <c r="AE21" i="33"/>
  <c r="AD21" i="33"/>
  <c r="AC21" i="33"/>
  <c r="AB21" i="33"/>
  <c r="AA21" i="33"/>
  <c r="Z21" i="33"/>
  <c r="Y21" i="33"/>
  <c r="X21" i="33"/>
  <c r="W21" i="33"/>
  <c r="V21" i="33"/>
  <c r="U21" i="33"/>
  <c r="T21" i="33"/>
  <c r="S21" i="33"/>
  <c r="R21" i="33"/>
  <c r="Q21" i="33"/>
  <c r="P21" i="33"/>
  <c r="O21" i="33"/>
  <c r="N21" i="33"/>
  <c r="M21" i="33"/>
  <c r="L21" i="33"/>
  <c r="K21" i="33"/>
  <c r="J21" i="33"/>
  <c r="I21" i="33"/>
  <c r="H21" i="33"/>
  <c r="G21" i="33"/>
  <c r="F21" i="33"/>
  <c r="E21" i="33"/>
  <c r="D21" i="33"/>
  <c r="AL13" i="33"/>
  <c r="AK13" i="33"/>
  <c r="AJ13" i="33"/>
  <c r="AI13" i="33"/>
  <c r="AL12" i="33"/>
  <c r="AK12" i="33"/>
  <c r="AJ12" i="33"/>
  <c r="AI12" i="33"/>
  <c r="AL11" i="33"/>
  <c r="AK11" i="33"/>
  <c r="AJ11" i="33"/>
  <c r="AI11" i="33"/>
  <c r="AL10" i="33"/>
  <c r="AK10" i="33"/>
  <c r="AJ10" i="33"/>
  <c r="AI10" i="33"/>
  <c r="AL9" i="33"/>
  <c r="AK9" i="33"/>
  <c r="AJ9" i="33"/>
  <c r="AI9" i="33"/>
  <c r="AL8" i="33"/>
  <c r="AK8" i="33"/>
  <c r="AJ8" i="33"/>
  <c r="AI8" i="33"/>
  <c r="AL7" i="33"/>
  <c r="AK7" i="33"/>
  <c r="AJ7" i="33"/>
  <c r="AI7" i="33"/>
  <c r="T3" i="33"/>
  <c r="P3" i="33"/>
  <c r="L3" i="33"/>
  <c r="H3" i="33"/>
  <c r="D3" i="33"/>
  <c r="AH18" i="32"/>
  <c r="AG18" i="32"/>
  <c r="AF18" i="32"/>
  <c r="AE18" i="32"/>
  <c r="AD18" i="32"/>
  <c r="AC18" i="32"/>
  <c r="AB18" i="32"/>
  <c r="AA18" i="32"/>
  <c r="Z18" i="32"/>
  <c r="Y18" i="32"/>
  <c r="X18" i="32"/>
  <c r="W18" i="32"/>
  <c r="V18" i="32"/>
  <c r="U18" i="32"/>
  <c r="T18" i="32"/>
  <c r="S18" i="32"/>
  <c r="R18" i="32"/>
  <c r="Q18" i="32"/>
  <c r="P18" i="32"/>
  <c r="O18" i="32"/>
  <c r="N18" i="32"/>
  <c r="M18" i="32"/>
  <c r="L18" i="32"/>
  <c r="K18" i="32"/>
  <c r="J18" i="32"/>
  <c r="I18" i="32"/>
  <c r="H18" i="32"/>
  <c r="G18" i="32"/>
  <c r="F18" i="32"/>
  <c r="E18" i="32"/>
  <c r="D18" i="32"/>
  <c r="AL13" i="32"/>
  <c r="AK13" i="32"/>
  <c r="AJ13" i="32"/>
  <c r="AI13" i="32"/>
  <c r="AL12" i="32"/>
  <c r="AK12" i="32"/>
  <c r="AJ12" i="32"/>
  <c r="AI12" i="32"/>
  <c r="AL11" i="32"/>
  <c r="AK11" i="32"/>
  <c r="AJ11" i="32"/>
  <c r="AI11" i="32"/>
  <c r="AL10" i="32"/>
  <c r="AK10" i="32"/>
  <c r="AJ10" i="32"/>
  <c r="AI10" i="32"/>
  <c r="AL9" i="32"/>
  <c r="AK9" i="32"/>
  <c r="AJ9" i="32"/>
  <c r="AI9" i="32"/>
  <c r="AL8" i="32"/>
  <c r="AK8" i="32"/>
  <c r="AJ8" i="32"/>
  <c r="AI8" i="32"/>
  <c r="AL7" i="32"/>
  <c r="AK7" i="32"/>
  <c r="AJ7" i="32"/>
  <c r="AI7" i="32"/>
  <c r="T3" i="32"/>
  <c r="P3" i="32"/>
  <c r="L3" i="32"/>
  <c r="H3" i="32"/>
  <c r="D3" i="32"/>
  <c r="AH18" i="30"/>
  <c r="AG18" i="30"/>
  <c r="AF18" i="30"/>
  <c r="AE18" i="30"/>
  <c r="AD18" i="30"/>
  <c r="AC18" i="30"/>
  <c r="AB18" i="30"/>
  <c r="AA18" i="30"/>
  <c r="Z18" i="30"/>
  <c r="Y18" i="30"/>
  <c r="X18" i="30"/>
  <c r="W18" i="30"/>
  <c r="V18" i="30"/>
  <c r="U18" i="30"/>
  <c r="T18" i="30"/>
  <c r="S18" i="30"/>
  <c r="R18" i="30"/>
  <c r="Q18" i="30"/>
  <c r="P18" i="30"/>
  <c r="O18" i="30"/>
  <c r="N18" i="30"/>
  <c r="M18" i="30"/>
  <c r="L18" i="30"/>
  <c r="K18" i="30"/>
  <c r="J18" i="30"/>
  <c r="I18" i="30"/>
  <c r="H18" i="30"/>
  <c r="G18" i="30"/>
  <c r="F18" i="30"/>
  <c r="E18" i="30"/>
  <c r="D18" i="30"/>
  <c r="AL12" i="30"/>
  <c r="AK12" i="30"/>
  <c r="AJ12" i="30"/>
  <c r="AI12" i="30"/>
  <c r="AL11" i="30"/>
  <c r="AK11" i="30"/>
  <c r="AJ11" i="30"/>
  <c r="AI11" i="30"/>
  <c r="AL10" i="30"/>
  <c r="AK10" i="30"/>
  <c r="AJ10" i="30"/>
  <c r="AI10" i="30"/>
  <c r="AL9" i="30"/>
  <c r="AK9" i="30"/>
  <c r="AJ9" i="30"/>
  <c r="AI9" i="30"/>
  <c r="AL8" i="30"/>
  <c r="AK8" i="30"/>
  <c r="AJ8" i="30"/>
  <c r="AI8" i="30"/>
  <c r="AL7" i="30"/>
  <c r="AK7" i="30"/>
  <c r="AJ7" i="30"/>
  <c r="AI7" i="30"/>
  <c r="T3" i="30"/>
  <c r="P3" i="30"/>
  <c r="L3" i="30"/>
  <c r="H3" i="30"/>
  <c r="D3" i="30"/>
  <c r="AH18" i="25"/>
  <c r="AG18" i="25"/>
  <c r="AF18" i="25"/>
  <c r="AE18" i="25"/>
  <c r="AD18" i="25"/>
  <c r="AC18" i="25"/>
  <c r="AB18" i="25"/>
  <c r="AA18" i="25"/>
  <c r="Z18" i="25"/>
  <c r="Y18" i="25"/>
  <c r="X18" i="25"/>
  <c r="W18" i="25"/>
  <c r="V18" i="25"/>
  <c r="U18" i="25"/>
  <c r="T18" i="25"/>
  <c r="S18" i="25"/>
  <c r="R18" i="25"/>
  <c r="Q18" i="25"/>
  <c r="P18" i="25"/>
  <c r="O18" i="25"/>
  <c r="N18" i="25"/>
  <c r="M18" i="25"/>
  <c r="L18" i="25"/>
  <c r="K18" i="25"/>
  <c r="J18" i="25"/>
  <c r="I18" i="25"/>
  <c r="H18" i="25"/>
  <c r="G18" i="25"/>
  <c r="F18" i="25"/>
  <c r="E18" i="25"/>
  <c r="D18" i="25"/>
  <c r="AL13" i="25"/>
  <c r="AK13" i="25"/>
  <c r="AJ13" i="25"/>
  <c r="AI13" i="25"/>
  <c r="AL12" i="25"/>
  <c r="AK12" i="25"/>
  <c r="AJ12" i="25"/>
  <c r="AI12" i="25"/>
  <c r="AL11" i="25"/>
  <c r="AK11" i="25"/>
  <c r="AJ11" i="25"/>
  <c r="AI11" i="25"/>
  <c r="AL10" i="25"/>
  <c r="AK10" i="25"/>
  <c r="AJ10" i="25"/>
  <c r="AI10" i="25"/>
  <c r="AL9" i="25"/>
  <c r="AK9" i="25"/>
  <c r="AJ9" i="25"/>
  <c r="AI9" i="25"/>
  <c r="AL8" i="25"/>
  <c r="AK8" i="25"/>
  <c r="AJ8" i="25"/>
  <c r="AI8" i="25"/>
  <c r="AL7" i="25"/>
  <c r="AK7" i="25"/>
  <c r="AJ7" i="25"/>
  <c r="AI7" i="25"/>
  <c r="T3" i="25"/>
  <c r="P3" i="25"/>
  <c r="L3" i="25"/>
  <c r="H3" i="25"/>
  <c r="D3" i="25"/>
  <c r="C80" i="5"/>
  <c r="C79" i="5"/>
  <c r="C78" i="5"/>
  <c r="C61" i="5"/>
  <c r="C53" i="5"/>
  <c r="C46" i="5"/>
  <c r="C73" i="5"/>
  <c r="C74" i="5"/>
  <c r="C50" i="5"/>
  <c r="C56" i="5"/>
  <c r="C77" i="5"/>
  <c r="C65" i="5"/>
  <c r="C72" i="5"/>
  <c r="C68" i="5"/>
  <c r="C75" i="5"/>
  <c r="C64" i="5"/>
  <c r="C57" i="5"/>
  <c r="C66" i="5"/>
  <c r="C60" i="5"/>
  <c r="C63" i="5"/>
  <c r="C70" i="5"/>
  <c r="C71" i="5"/>
  <c r="C47" i="5"/>
  <c r="C69" i="5"/>
  <c r="C45" i="5"/>
  <c r="C49" i="5"/>
  <c r="C51" i="5"/>
  <c r="C76" i="5"/>
  <c r="C52" i="5"/>
  <c r="C16" i="5"/>
  <c r="C48" i="5"/>
  <c r="C55" i="5"/>
  <c r="C67" i="5"/>
  <c r="C59" i="5"/>
  <c r="C62" i="5"/>
  <c r="C54" i="5"/>
  <c r="C6" i="5"/>
  <c r="C8" i="5"/>
  <c r="C31" i="5"/>
  <c r="C34" i="5"/>
  <c r="C35" i="5"/>
  <c r="C33" i="5"/>
  <c r="C30" i="5"/>
  <c r="C32" i="5"/>
  <c r="C22" i="5"/>
  <c r="C23" i="5"/>
  <c r="C28" i="5"/>
  <c r="C24" i="5"/>
  <c r="C27" i="5"/>
  <c r="C58" i="5"/>
  <c r="C41" i="5"/>
  <c r="C40" i="5"/>
  <c r="C37" i="5"/>
  <c r="C26" i="5"/>
  <c r="C14" i="5"/>
  <c r="C19" i="5"/>
  <c r="C15" i="5"/>
  <c r="C18" i="5"/>
  <c r="C13" i="5"/>
  <c r="C21" i="5"/>
  <c r="C17" i="5"/>
  <c r="C12" i="5"/>
  <c r="C11" i="5"/>
  <c r="C7" i="5"/>
  <c r="C9" i="5"/>
  <c r="C10" i="5"/>
  <c r="C5" i="5"/>
  <c r="C4" i="5"/>
  <c r="AK18" i="32" l="1"/>
  <c r="AM12" i="42"/>
  <c r="AM19" i="39"/>
  <c r="AK13" i="42"/>
  <c r="AM9" i="42"/>
  <c r="AM11" i="42"/>
  <c r="AL13" i="42"/>
  <c r="AM8" i="42"/>
  <c r="AI13" i="42"/>
  <c r="AM7" i="42"/>
  <c r="AM7" i="41"/>
  <c r="AM10" i="42"/>
  <c r="AJ13" i="42"/>
  <c r="AM16" i="40"/>
  <c r="AM9" i="41"/>
  <c r="AM16" i="41"/>
  <c r="AM13" i="41"/>
  <c r="AM10" i="41"/>
  <c r="AM14" i="41"/>
  <c r="AI19" i="41"/>
  <c r="AM8" i="41"/>
  <c r="AM15" i="41"/>
  <c r="AM13" i="30"/>
  <c r="AK19" i="41"/>
  <c r="AM8" i="39"/>
  <c r="AM9" i="40"/>
  <c r="AM10" i="40"/>
  <c r="AM11" i="40"/>
  <c r="AM12" i="40"/>
  <c r="AL19" i="41"/>
  <c r="AM11" i="41"/>
  <c r="AM12" i="41"/>
  <c r="AJ19" i="41"/>
  <c r="AK18" i="40"/>
  <c r="AM8" i="40"/>
  <c r="AM18" i="39"/>
  <c r="AM17" i="39"/>
  <c r="AM13" i="39"/>
  <c r="AM16" i="39"/>
  <c r="AM15" i="25"/>
  <c r="AM16" i="25"/>
  <c r="AM15" i="37"/>
  <c r="AL18" i="40"/>
  <c r="AM13" i="40"/>
  <c r="AM14" i="40"/>
  <c r="AM15" i="40"/>
  <c r="AI18" i="40"/>
  <c r="AM7" i="40"/>
  <c r="AJ18" i="40"/>
  <c r="AM9" i="39"/>
  <c r="AM12" i="39"/>
  <c r="AI20" i="39"/>
  <c r="AM7" i="39"/>
  <c r="AM14" i="39"/>
  <c r="AM15" i="39"/>
  <c r="AK20" i="39"/>
  <c r="AM14" i="25"/>
  <c r="AL20" i="39"/>
  <c r="AM10" i="39"/>
  <c r="AM11" i="39"/>
  <c r="AJ20" i="39"/>
  <c r="AM14" i="37"/>
  <c r="AK18" i="37"/>
  <c r="AL18" i="37"/>
  <c r="AM9" i="37"/>
  <c r="AM10" i="37"/>
  <c r="AM11" i="37"/>
  <c r="AM12" i="37"/>
  <c r="AM13" i="37"/>
  <c r="AM15" i="30"/>
  <c r="AM14" i="33"/>
  <c r="AK21" i="33"/>
  <c r="AM15" i="33"/>
  <c r="AL21" i="33"/>
  <c r="AM14" i="30"/>
  <c r="AL18" i="30"/>
  <c r="AK18" i="30"/>
  <c r="AI18" i="37"/>
  <c r="AM7" i="37"/>
  <c r="AM8" i="37"/>
  <c r="AJ18" i="37"/>
  <c r="AM9" i="32"/>
  <c r="AM10" i="33"/>
  <c r="AM13" i="33"/>
  <c r="AM13" i="32"/>
  <c r="AM9" i="33"/>
  <c r="AM11" i="33"/>
  <c r="AM12" i="33"/>
  <c r="AM10" i="32"/>
  <c r="AI21" i="33"/>
  <c r="AM7" i="33"/>
  <c r="AM8" i="33"/>
  <c r="AJ21" i="33"/>
  <c r="AL18" i="32"/>
  <c r="AM11" i="32"/>
  <c r="AM12" i="32"/>
  <c r="AI18" i="32"/>
  <c r="AM7" i="32"/>
  <c r="AM8" i="32"/>
  <c r="AJ18" i="32"/>
  <c r="AM9" i="30"/>
  <c r="AM10" i="30"/>
  <c r="AM11" i="30"/>
  <c r="AM12" i="30"/>
  <c r="AI18" i="30"/>
  <c r="AM8" i="30"/>
  <c r="AJ18" i="30"/>
  <c r="AM7" i="30"/>
  <c r="AJ18" i="25"/>
  <c r="AI18" i="25"/>
  <c r="AK18" i="25"/>
  <c r="AM13" i="25"/>
  <c r="AL18" i="25"/>
  <c r="AM8" i="25"/>
  <c r="AM9" i="25"/>
  <c r="AM10" i="25"/>
  <c r="AM11" i="25"/>
  <c r="AM12" i="25"/>
  <c r="AM7" i="25"/>
  <c r="U12" i="6" l="1"/>
  <c r="T12" i="6"/>
  <c r="Q12" i="6"/>
  <c r="P12" i="6"/>
  <c r="L12" i="6"/>
  <c r="K12" i="6"/>
  <c r="H12" i="6"/>
  <c r="G12" i="6"/>
  <c r="D12" i="6"/>
  <c r="C12" i="6"/>
  <c r="B12" i="6"/>
  <c r="A1" i="6"/>
  <c r="AD12" i="4" l="1"/>
  <c r="AE12" i="4"/>
  <c r="AF12" i="4"/>
  <c r="AG12" i="4"/>
  <c r="AH12" i="4"/>
  <c r="S12" i="4"/>
  <c r="T12" i="4"/>
  <c r="U12" i="4"/>
  <c r="V12" i="4"/>
  <c r="W12" i="4"/>
  <c r="X12" i="4"/>
  <c r="Y12" i="4"/>
  <c r="Z12" i="4"/>
  <c r="AA12" i="4"/>
  <c r="AB12" i="4"/>
  <c r="AC12" i="4"/>
  <c r="E12" i="4"/>
  <c r="F12" i="4"/>
  <c r="G12" i="4"/>
  <c r="H12" i="4"/>
  <c r="I12" i="4"/>
  <c r="J12" i="4"/>
  <c r="K12" i="4"/>
  <c r="L12" i="4"/>
  <c r="M12" i="4"/>
  <c r="N12" i="4"/>
  <c r="O12" i="4"/>
  <c r="P12" i="4"/>
  <c r="Q12" i="4"/>
  <c r="R12" i="4"/>
  <c r="D12" i="4"/>
  <c r="C8" i="4"/>
  <c r="C9" i="4"/>
  <c r="C10" i="4"/>
  <c r="C11" i="4"/>
  <c r="C7" i="4"/>
  <c r="AG39" i="6" l="1"/>
  <c r="AF39" i="6"/>
  <c r="AE39" i="6"/>
  <c r="AD39" i="6"/>
  <c r="AC39" i="6"/>
  <c r="AB39" i="6"/>
  <c r="AA39" i="6"/>
  <c r="Z39" i="6"/>
  <c r="Y39" i="6"/>
  <c r="X39" i="6"/>
  <c r="W39" i="6"/>
  <c r="V39" i="6"/>
  <c r="U39" i="6"/>
  <c r="T39" i="6"/>
  <c r="S39" i="6"/>
  <c r="R39" i="6"/>
  <c r="Q39" i="6"/>
  <c r="P39" i="6"/>
  <c r="O39" i="6"/>
  <c r="N39" i="6"/>
  <c r="M39" i="6"/>
  <c r="L39" i="6"/>
  <c r="K39" i="6"/>
  <c r="J39" i="6"/>
  <c r="I39" i="6"/>
  <c r="H39" i="6"/>
  <c r="G39" i="6"/>
  <c r="F39" i="6"/>
  <c r="E39" i="6"/>
  <c r="D39" i="6"/>
  <c r="C39" i="6"/>
  <c r="AF37" i="6"/>
  <c r="AE37" i="6"/>
  <c r="AD37" i="6"/>
  <c r="AC37" i="6"/>
  <c r="AB37" i="6"/>
  <c r="AA37" i="6"/>
  <c r="Z37" i="6"/>
  <c r="Y37" i="6"/>
  <c r="X37" i="6"/>
  <c r="W37" i="6"/>
  <c r="V37" i="6"/>
  <c r="U37" i="6"/>
  <c r="T37" i="6"/>
  <c r="S37" i="6"/>
  <c r="R37" i="6"/>
  <c r="Q37" i="6"/>
  <c r="P37" i="6"/>
  <c r="O37" i="6"/>
  <c r="N37" i="6"/>
  <c r="M37" i="6"/>
  <c r="L37" i="6"/>
  <c r="K37" i="6"/>
  <c r="J37" i="6"/>
  <c r="I37" i="6"/>
  <c r="H37" i="6"/>
  <c r="G37" i="6"/>
  <c r="F37" i="6"/>
  <c r="E37" i="6"/>
  <c r="D37" i="6"/>
  <c r="C37" i="6"/>
  <c r="AG35" i="6"/>
  <c r="AF35" i="6"/>
  <c r="AE35" i="6"/>
  <c r="AD35" i="6"/>
  <c r="AC35" i="6"/>
  <c r="AB35" i="6"/>
  <c r="AA35" i="6"/>
  <c r="Z35" i="6"/>
  <c r="Y35" i="6"/>
  <c r="X35" i="6"/>
  <c r="W35" i="6"/>
  <c r="V35" i="6"/>
  <c r="U35" i="6"/>
  <c r="T35" i="6"/>
  <c r="S35" i="6"/>
  <c r="R35" i="6"/>
  <c r="Q35" i="6"/>
  <c r="P35" i="6"/>
  <c r="O35" i="6"/>
  <c r="N35" i="6"/>
  <c r="M35" i="6"/>
  <c r="L35" i="6"/>
  <c r="K35" i="6"/>
  <c r="J35" i="6"/>
  <c r="I35" i="6"/>
  <c r="H35" i="6"/>
  <c r="G35" i="6"/>
  <c r="F35" i="6"/>
  <c r="E35" i="6"/>
  <c r="D35" i="6"/>
  <c r="C35" i="6"/>
  <c r="AF33" i="6"/>
  <c r="AE33" i="6"/>
  <c r="AD33" i="6"/>
  <c r="AC33" i="6"/>
  <c r="AB33" i="6"/>
  <c r="AA33" i="6"/>
  <c r="Z33" i="6"/>
  <c r="Y33" i="6"/>
  <c r="X33" i="6"/>
  <c r="W33" i="6"/>
  <c r="V33" i="6"/>
  <c r="U33" i="6"/>
  <c r="T33" i="6"/>
  <c r="S33" i="6"/>
  <c r="R33" i="6"/>
  <c r="Q33" i="6"/>
  <c r="P33" i="6"/>
  <c r="O33" i="6"/>
  <c r="N33" i="6"/>
  <c r="M33" i="6"/>
  <c r="L33" i="6"/>
  <c r="K33" i="6"/>
  <c r="J33" i="6"/>
  <c r="I33" i="6"/>
  <c r="H33" i="6"/>
  <c r="G33" i="6"/>
  <c r="F33" i="6"/>
  <c r="E33" i="6"/>
  <c r="D33" i="6"/>
  <c r="C33" i="6"/>
  <c r="AG31" i="6"/>
  <c r="AF31" i="6"/>
  <c r="AE31" i="6"/>
  <c r="AD31" i="6"/>
  <c r="AC31" i="6"/>
  <c r="AB31" i="6"/>
  <c r="AA31" i="6"/>
  <c r="Z31" i="6"/>
  <c r="Y31" i="6"/>
  <c r="X31" i="6"/>
  <c r="W31" i="6"/>
  <c r="V31" i="6"/>
  <c r="U31" i="6"/>
  <c r="T31" i="6"/>
  <c r="S31" i="6"/>
  <c r="R31" i="6"/>
  <c r="Q31" i="6"/>
  <c r="P31" i="6"/>
  <c r="O31" i="6"/>
  <c r="N31" i="6"/>
  <c r="M31" i="6"/>
  <c r="L31" i="6"/>
  <c r="K31" i="6"/>
  <c r="J31" i="6"/>
  <c r="I31" i="6"/>
  <c r="H31" i="6"/>
  <c r="G31" i="6"/>
  <c r="F31" i="6"/>
  <c r="E31" i="6"/>
  <c r="D31" i="6"/>
  <c r="C31" i="6"/>
  <c r="AG27" i="6"/>
  <c r="AF27" i="6"/>
  <c r="AE27" i="6"/>
  <c r="AD27" i="6"/>
  <c r="AC27" i="6"/>
  <c r="AB27" i="6"/>
  <c r="AA27" i="6"/>
  <c r="Z27" i="6"/>
  <c r="Y27" i="6"/>
  <c r="X27" i="6"/>
  <c r="W27" i="6"/>
  <c r="V27" i="6"/>
  <c r="U27" i="6"/>
  <c r="T27" i="6"/>
  <c r="S27" i="6"/>
  <c r="R27" i="6"/>
  <c r="Q27" i="6"/>
  <c r="P27" i="6"/>
  <c r="O27" i="6"/>
  <c r="N27" i="6"/>
  <c r="M27" i="6"/>
  <c r="L27" i="6"/>
  <c r="K27" i="6"/>
  <c r="J27" i="6"/>
  <c r="I27" i="6"/>
  <c r="H27" i="6"/>
  <c r="G27" i="6"/>
  <c r="F27" i="6"/>
  <c r="E27" i="6"/>
  <c r="D27" i="6"/>
  <c r="C27" i="6"/>
  <c r="AG25" i="6"/>
  <c r="AF25" i="6"/>
  <c r="AE25" i="6"/>
  <c r="AD25" i="6"/>
  <c r="AC25" i="6"/>
  <c r="AB25" i="6"/>
  <c r="AA25" i="6"/>
  <c r="Z25" i="6"/>
  <c r="Y25" i="6"/>
  <c r="X25" i="6"/>
  <c r="W25" i="6"/>
  <c r="V25" i="6"/>
  <c r="U25" i="6"/>
  <c r="T25" i="6"/>
  <c r="S25" i="6"/>
  <c r="R25" i="6"/>
  <c r="Q25" i="6"/>
  <c r="P25" i="6"/>
  <c r="O25" i="6"/>
  <c r="N25" i="6"/>
  <c r="M25" i="6"/>
  <c r="L25" i="6"/>
  <c r="K25" i="6"/>
  <c r="J25" i="6"/>
  <c r="I25" i="6"/>
  <c r="H25" i="6"/>
  <c r="G25" i="6"/>
  <c r="F25" i="6"/>
  <c r="E25" i="6"/>
  <c r="D25" i="6"/>
  <c r="C25" i="6"/>
  <c r="AF23" i="6"/>
  <c r="AE23" i="6"/>
  <c r="AD23" i="6"/>
  <c r="AC23" i="6"/>
  <c r="AB23" i="6"/>
  <c r="AA23" i="6"/>
  <c r="Z23" i="6"/>
  <c r="Y23" i="6"/>
  <c r="X23" i="6"/>
  <c r="W23" i="6"/>
  <c r="V23" i="6"/>
  <c r="U23" i="6"/>
  <c r="T23" i="6"/>
  <c r="S23" i="6"/>
  <c r="R23" i="6"/>
  <c r="Q23" i="6"/>
  <c r="P23" i="6"/>
  <c r="O23" i="6"/>
  <c r="N23" i="6"/>
  <c r="M23" i="6"/>
  <c r="L23" i="6"/>
  <c r="K23" i="6"/>
  <c r="J23" i="6"/>
  <c r="I23" i="6"/>
  <c r="H23" i="6"/>
  <c r="G23" i="6"/>
  <c r="F23" i="6"/>
  <c r="E23" i="6"/>
  <c r="D23" i="6"/>
  <c r="C23"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E21" i="6"/>
  <c r="D21" i="6"/>
  <c r="C21" i="6"/>
  <c r="AH36" i="6" l="1"/>
  <c r="AH38" i="6"/>
  <c r="AK38" i="6"/>
  <c r="AI38" i="6"/>
  <c r="AK36" i="6"/>
  <c r="AI36" i="6"/>
  <c r="AJ38" i="6"/>
  <c r="AJ36" i="6"/>
  <c r="AF19" i="6" l="1"/>
  <c r="AE19" i="6"/>
  <c r="AD19" i="6"/>
  <c r="AC19" i="6"/>
  <c r="AB19" i="6"/>
  <c r="AA19" i="6"/>
  <c r="Z19" i="6"/>
  <c r="Y19" i="6"/>
  <c r="X19" i="6"/>
  <c r="W19" i="6"/>
  <c r="V19" i="6"/>
  <c r="U19" i="6"/>
  <c r="T19" i="6"/>
  <c r="S19" i="6"/>
  <c r="R19" i="6"/>
  <c r="Q19" i="6"/>
  <c r="P19" i="6"/>
  <c r="O19" i="6"/>
  <c r="N19" i="6"/>
  <c r="M19" i="6"/>
  <c r="L19" i="6"/>
  <c r="K19" i="6"/>
  <c r="J19" i="6"/>
  <c r="I19" i="6"/>
  <c r="H19" i="6"/>
  <c r="G19" i="6"/>
  <c r="F19" i="6"/>
  <c r="E19" i="6"/>
  <c r="D19" i="6"/>
  <c r="C19" i="6"/>
  <c r="AE29" i="6"/>
  <c r="AD29" i="6"/>
  <c r="AC29" i="6"/>
  <c r="AB29" i="6"/>
  <c r="AA29" i="6"/>
  <c r="Z29" i="6"/>
  <c r="Y29" i="6"/>
  <c r="X29" i="6"/>
  <c r="W29" i="6"/>
  <c r="V29" i="6"/>
  <c r="U29" i="6"/>
  <c r="T29" i="6"/>
  <c r="S29" i="6"/>
  <c r="R29" i="6"/>
  <c r="Q29" i="6"/>
  <c r="P29" i="6"/>
  <c r="O29" i="6"/>
  <c r="N29" i="6"/>
  <c r="M29" i="6"/>
  <c r="L29" i="6"/>
  <c r="K29" i="6"/>
  <c r="J29" i="6"/>
  <c r="I29" i="6"/>
  <c r="H29" i="6"/>
  <c r="G29" i="6"/>
  <c r="F29" i="6"/>
  <c r="E29" i="6"/>
  <c r="D29" i="6"/>
  <c r="C29" i="6"/>
  <c r="AI11" i="4" l="1"/>
  <c r="AJ11" i="4"/>
  <c r="AK11" i="4"/>
  <c r="AL11" i="4"/>
  <c r="AL7" i="4"/>
  <c r="AL8" i="4"/>
  <c r="AL9" i="4"/>
  <c r="AL10" i="4"/>
  <c r="AK7" i="4"/>
  <c r="AK8" i="4"/>
  <c r="AK9" i="4"/>
  <c r="AK10" i="4"/>
  <c r="AJ7" i="4"/>
  <c r="AJ8" i="4"/>
  <c r="AJ9" i="4"/>
  <c r="AJ10" i="4"/>
  <c r="AM8" i="4" l="1"/>
  <c r="AM9" i="4"/>
  <c r="AM10" i="4"/>
  <c r="AK12" i="4"/>
  <c r="AL12" i="4"/>
  <c r="AM11" i="4"/>
  <c r="AM7" i="4"/>
  <c r="AJ12" i="4"/>
  <c r="AI7" i="4"/>
  <c r="AI8" i="4"/>
  <c r="AI9" i="4"/>
  <c r="AI10" i="4"/>
  <c r="AM12" i="4" l="1"/>
  <c r="AI12" i="4"/>
  <c r="C17" i="6"/>
  <c r="D17" i="6"/>
  <c r="E17" i="6"/>
  <c r="F17" i="6"/>
  <c r="G17" i="6"/>
  <c r="H17" i="6"/>
  <c r="I17" i="6"/>
  <c r="J17" i="6"/>
  <c r="K17" i="6"/>
  <c r="L17" i="6"/>
  <c r="M17" i="6"/>
  <c r="N17" i="6"/>
  <c r="O17" i="6"/>
  <c r="P17" i="6"/>
  <c r="Q17" i="6"/>
  <c r="R17" i="6"/>
  <c r="S17" i="6"/>
  <c r="T17" i="6"/>
  <c r="U17" i="6"/>
  <c r="V17" i="6"/>
  <c r="W17" i="6"/>
  <c r="X17" i="6"/>
  <c r="Y17" i="6"/>
  <c r="Z17" i="6"/>
  <c r="AA17" i="6"/>
  <c r="AB17" i="6"/>
  <c r="AC17" i="6"/>
  <c r="AD17" i="6"/>
  <c r="AE17" i="6"/>
  <c r="AF17" i="6"/>
  <c r="AG17" i="6"/>
  <c r="AK16" i="6" l="1"/>
  <c r="AJ16" i="6"/>
  <c r="AI16" i="6"/>
  <c r="AH16" i="6"/>
  <c r="B10" i="6"/>
  <c r="AE10" i="6"/>
  <c r="W10" i="6"/>
  <c r="K10" i="6"/>
  <c r="AE8" i="6"/>
  <c r="W8" i="6"/>
  <c r="K8" i="6"/>
  <c r="B8" i="6"/>
  <c r="AK28" i="6" l="1"/>
  <c r="AJ28" i="6"/>
  <c r="AI28" i="6"/>
  <c r="AH28" i="6"/>
  <c r="AI22" i="6" l="1"/>
  <c r="AK22" i="6"/>
  <c r="AJ22" i="6"/>
  <c r="AK24" i="6"/>
  <c r="AJ24" i="6"/>
  <c r="AI24" i="6"/>
  <c r="AJ30" i="6"/>
  <c r="AI30" i="6"/>
  <c r="AK30" i="6"/>
  <c r="AK18" i="6"/>
  <c r="AJ18" i="6"/>
  <c r="AI18" i="6"/>
  <c r="AK20" i="6"/>
  <c r="AJ20" i="6"/>
  <c r="AI20" i="6"/>
  <c r="AK26" i="6"/>
  <c r="AJ26" i="6"/>
  <c r="AI26" i="6"/>
  <c r="AK32" i="6"/>
  <c r="AJ32" i="6"/>
  <c r="AI32" i="6"/>
  <c r="AK34" i="6"/>
  <c r="AJ34" i="6"/>
  <c r="AI34" i="6"/>
  <c r="AH18" i="6"/>
  <c r="AH22" i="6"/>
  <c r="AH24" i="6"/>
  <c r="AH30" i="6"/>
  <c r="AH20" i="6"/>
  <c r="AH26" i="6"/>
  <c r="AH32" i="6"/>
  <c r="AH34" i="6"/>
  <c r="B5" i="4" l="1"/>
  <c r="AE6" i="6"/>
  <c r="W6" i="6"/>
  <c r="S4" i="6"/>
  <c r="P4" i="6"/>
  <c r="AH40" i="6" l="1"/>
  <c r="AI40" i="6"/>
  <c r="AJ40" i="6"/>
  <c r="AK40" i="6"/>
  <c r="I1" i="6" l="1"/>
  <c r="B6" i="6" l="1"/>
  <c r="K6" i="6"/>
</calcChain>
</file>

<file path=xl/sharedStrings.xml><?xml version="1.0" encoding="utf-8"?>
<sst xmlns="http://schemas.openxmlformats.org/spreadsheetml/2006/main" count="2034" uniqueCount="607">
  <si>
    <t>2</t>
  </si>
  <si>
    <t>3</t>
  </si>
  <si>
    <t>6</t>
  </si>
  <si>
    <t>8</t>
  </si>
  <si>
    <t>9</t>
  </si>
  <si>
    <t>10</t>
  </si>
  <si>
    <t>12</t>
  </si>
  <si>
    <t>13</t>
  </si>
  <si>
    <t>14</t>
  </si>
  <si>
    <t>15</t>
  </si>
  <si>
    <t>16</t>
  </si>
  <si>
    <t>17</t>
  </si>
  <si>
    <t>19</t>
  </si>
  <si>
    <t>20</t>
  </si>
  <si>
    <t>22</t>
  </si>
  <si>
    <t>23</t>
  </si>
  <si>
    <t>24</t>
  </si>
  <si>
    <t>26</t>
  </si>
  <si>
    <t>27</t>
  </si>
  <si>
    <t>29</t>
  </si>
  <si>
    <t>30</t>
  </si>
  <si>
    <t>P</t>
  </si>
  <si>
    <t>Nom de l’élève</t>
  </si>
  <si>
    <t>Référence</t>
  </si>
  <si>
    <t>Nom de l’élève</t>
  </si>
  <si>
    <t>R</t>
  </si>
  <si>
    <t>E</t>
  </si>
  <si>
    <t>Jours d’absence</t>
  </si>
  <si>
    <t>Total</t>
  </si>
  <si>
    <t>Date de naissance</t>
  </si>
  <si>
    <t>École</t>
  </si>
  <si>
    <t>Note</t>
  </si>
  <si>
    <t>Enseignant</t>
  </si>
  <si>
    <t>Salle</t>
  </si>
  <si>
    <t>Relation</t>
  </si>
  <si>
    <t>Téléphone (bureau)</t>
  </si>
  <si>
    <t>Téléphone (domicile)</t>
  </si>
  <si>
    <t>Contact en cas d’urgence</t>
  </si>
  <si>
    <t>Présence (total)</t>
  </si>
  <si>
    <t>Août</t>
  </si>
  <si>
    <t>Septembre</t>
  </si>
  <si>
    <t>Octobre</t>
  </si>
  <si>
    <t>Novembre</t>
  </si>
  <si>
    <t>Décembre</t>
  </si>
  <si>
    <t>Janvier</t>
  </si>
  <si>
    <t>Février</t>
  </si>
  <si>
    <t>Mars</t>
  </si>
  <si>
    <t>Avril</t>
  </si>
  <si>
    <t>Mai</t>
  </si>
  <si>
    <t>Juin</t>
  </si>
  <si>
    <t>Juillet</t>
  </si>
  <si>
    <t>N</t>
  </si>
  <si>
    <t>Début de l’année scolaire :</t>
  </si>
  <si>
    <t>en retard</t>
  </si>
  <si>
    <t>excusé</t>
  </si>
  <si>
    <t>non excusé</t>
  </si>
  <si>
    <t>présent</t>
  </si>
  <si>
    <t>école fermée</t>
  </si>
  <si>
    <t>Présence</t>
  </si>
  <si>
    <t>FICHE DE PRÉSENCE SCOLAIRE</t>
  </si>
  <si>
    <t>E001</t>
  </si>
  <si>
    <t>E002</t>
  </si>
  <si>
    <t>E003</t>
  </si>
  <si>
    <t>E004</t>
  </si>
  <si>
    <t>E005</t>
  </si>
  <si>
    <t xml:space="preserve">● </t>
  </si>
  <si>
    <t>1.</t>
  </si>
  <si>
    <t>2.</t>
  </si>
  <si>
    <t>3.</t>
  </si>
  <si>
    <t>Une fois vos élèves inscrits sur la feuille Liste des élèves, vous pouvez commencer le suivi de leur présence durant l’année scolaire en procédant comme suit :</t>
  </si>
  <si>
    <t>PAR OÙ COMMENCER ?</t>
  </si>
  <si>
    <t>J’AI AJOUTÉ MES ÉLÈVES. QUE DOIS-JE FAIRE MAINTENANT ?</t>
  </si>
  <si>
    <t>COMMENT AJOUTER DAVANTAGE D’ÉLÈVES À UNE FICHE DE PRÉSENCE MENSUELLE ?</t>
  </si>
  <si>
    <t>PUIS-JE VOIR LES INFORMATIONS DE PRÉSENCE D’UN ÉLÈVE POUR TOUTE L’ANNÉE SCOLAIRE ?</t>
  </si>
  <si>
    <t>Vous devez effectuer quelques étapes avant de pouvoir assurer le suivi de présence des élèves :</t>
  </si>
  <si>
    <t xml:space="preserve">CODE DE COULEURS </t>
  </si>
  <si>
    <t>Si le tableau ne possède pas de ligne Total, commencez à taper sous le tableau. Ce dernier se développe automatiquement lorsque vous appuyez sur la touche Entrée ou Tab.</t>
  </si>
  <si>
    <t>Dans l’angle inférieur droit du tableau, placez votre souris sur la poignée de redimensionnement du tableau, puis faites-la glisser vers le bas pour augmenter le nombre de lignes disponibles dans le tableau.</t>
  </si>
  <si>
    <t>Jours d’absence (total)</t>
  </si>
  <si>
    <t>COMMENT UTILISER CE MODÈLE</t>
  </si>
  <si>
    <t>Personnaliser un thème de document.</t>
  </si>
  <si>
    <t>N1</t>
  </si>
  <si>
    <r>
      <rPr>
        <b/>
        <sz val="10"/>
        <color theme="4" tint="-0.499984740745262"/>
        <rFont val="Century Gothic"/>
        <family val="2"/>
        <scheme val="minor"/>
      </rPr>
      <t>Modifiez l’année scolaire :</t>
    </r>
    <r>
      <rPr>
        <sz val="10"/>
        <color theme="4" tint="-0.499984740745262"/>
        <rFont val="Century Gothic"/>
        <family val="2"/>
        <scheme val="minor"/>
      </rPr>
      <t xml:space="preserve"> </t>
    </r>
    <r>
      <rPr>
        <sz val="10"/>
        <color theme="1"/>
        <rFont val="Century Gothic"/>
        <family val="2"/>
        <scheme val="minor"/>
      </rPr>
      <t xml:space="preserve">dans la feuille </t>
    </r>
    <r>
      <rPr>
        <b/>
        <sz val="10"/>
        <color theme="1"/>
        <rFont val="Century Gothic"/>
        <family val="2"/>
        <scheme val="minor"/>
      </rPr>
      <t>Août</t>
    </r>
    <r>
      <rPr>
        <sz val="10"/>
        <color theme="1"/>
        <rFont val="Century Gothic"/>
        <family val="2"/>
        <scheme val="minor"/>
      </rPr>
      <t xml:space="preserve"> relative aux informations de présence, cliquez sur le compteur situé à l’extrémité droite du titre afin de mettre à jour l’année scolaire. Cette modification entraîne la mise à jour du titre sur toutes les fiches de présence mensuelles de ce classeur. (Notez que le compteur n’est pas imprimé.)</t>
    </r>
    <phoneticPr fontId="44" type="noConversion"/>
  </si>
  <si>
    <r>
      <rPr>
        <b/>
        <i/>
        <sz val="10"/>
        <color theme="4" tint="-0.499984740745262"/>
        <rFont val="Century Gothic"/>
        <family val="2"/>
        <scheme val="minor"/>
      </rPr>
      <t>(Facultatif)</t>
    </r>
    <r>
      <rPr>
        <b/>
        <sz val="10"/>
        <color theme="4" tint="-0.499984740745262"/>
        <rFont val="Century Gothic"/>
        <family val="2"/>
        <scheme val="minor"/>
      </rPr>
      <t xml:space="preserve"> Modifiez les couleurs du classeur :</t>
    </r>
    <r>
      <rPr>
        <b/>
        <sz val="10"/>
        <color theme="1"/>
        <rFont val="Century Gothic"/>
        <family val="2"/>
        <scheme val="minor"/>
      </rPr>
      <t xml:space="preserve"> </t>
    </r>
    <r>
      <rPr>
        <sz val="10"/>
        <color theme="1"/>
        <rFont val="Century Gothic"/>
        <family val="2"/>
        <scheme val="minor"/>
      </rPr>
      <t xml:space="preserve"> accédez tout d’abord à la dernière feuille </t>
    </r>
    <r>
      <rPr>
        <b/>
        <sz val="10"/>
        <color theme="1"/>
        <rFont val="Century Gothic"/>
        <family val="2"/>
        <scheme val="minor"/>
      </rPr>
      <t>Rapport de présence des élèves</t>
    </r>
    <r>
      <rPr>
        <sz val="10"/>
        <color theme="1"/>
        <rFont val="Century Gothic"/>
        <family val="2"/>
        <scheme val="minor"/>
      </rPr>
      <t xml:space="preserve"> puis sous l’onglet </t>
    </r>
    <r>
      <rPr>
        <b/>
        <sz val="10"/>
        <color theme="1"/>
        <rFont val="Century Gothic"/>
        <family val="2"/>
        <scheme val="minor"/>
      </rPr>
      <t>Révision</t>
    </r>
    <r>
      <rPr>
        <sz val="10"/>
        <color theme="1"/>
        <rFont val="Century Gothic"/>
        <family val="2"/>
        <scheme val="minor"/>
      </rPr>
      <t xml:space="preserve"> dans le groupe </t>
    </r>
    <r>
      <rPr>
        <b/>
        <sz val="10"/>
        <color theme="1"/>
        <rFont val="Century Gothic"/>
        <family val="2"/>
        <scheme val="minor"/>
      </rPr>
      <t>Modifications</t>
    </r>
    <r>
      <rPr>
        <sz val="10"/>
        <color theme="1"/>
        <rFont val="Century Gothic"/>
        <family val="2"/>
        <scheme val="minor"/>
      </rPr>
      <t xml:space="preserve"> cliquez sur </t>
    </r>
    <r>
      <rPr>
        <b/>
        <sz val="10"/>
        <color theme="1"/>
        <rFont val="Century Gothic"/>
        <family val="2"/>
        <scheme val="minor"/>
      </rPr>
      <t>Ôter la protection de la feuille</t>
    </r>
    <r>
      <rPr>
        <sz val="10"/>
        <color theme="1"/>
        <rFont val="Century Gothic"/>
        <family val="2"/>
        <scheme val="minor"/>
      </rPr>
      <t xml:space="preserve">. Sous l’onglet </t>
    </r>
    <r>
      <rPr>
        <b/>
        <sz val="10"/>
        <color theme="1"/>
        <rFont val="Century Gothic"/>
        <family val="2"/>
        <scheme val="minor"/>
      </rPr>
      <t>Mise en page</t>
    </r>
    <r>
      <rPr>
        <sz val="10"/>
        <color theme="1"/>
        <rFont val="Century Gothic"/>
        <family val="2"/>
        <scheme val="minor"/>
      </rPr>
      <t xml:space="preserve"> dans le groupe </t>
    </r>
    <r>
      <rPr>
        <b/>
        <sz val="10"/>
        <color theme="1"/>
        <rFont val="Century Gothic"/>
        <family val="2"/>
        <scheme val="minor"/>
      </rPr>
      <t>Thèmes</t>
    </r>
    <r>
      <rPr>
        <sz val="10"/>
        <color theme="1"/>
        <rFont val="Century Gothic"/>
        <family val="2"/>
        <scheme val="minor"/>
      </rPr>
      <t xml:space="preserve"> cliquez sur </t>
    </r>
    <r>
      <rPr>
        <b/>
        <sz val="10"/>
        <color theme="1"/>
        <rFont val="Century Gothic"/>
        <family val="2"/>
        <scheme val="minor"/>
      </rPr>
      <t>Couleurs</t>
    </r>
    <r>
      <rPr>
        <sz val="10"/>
        <color theme="1"/>
        <rFont val="Century Gothic"/>
        <family val="2"/>
        <scheme val="minor"/>
      </rPr>
      <t xml:space="preserve"> et sélectionnez un autre ensemble de couleurs de thème à partir de la galerie de couleurs. Une fois que vous avez effectué vos modifications de couleurs et autres modifications liées au thème, revenez à la feuille </t>
    </r>
    <r>
      <rPr>
        <b/>
        <sz val="10"/>
        <color theme="1"/>
        <rFont val="Century Gothic"/>
        <family val="2"/>
        <scheme val="minor"/>
      </rPr>
      <t>Rapport de présence des élèves</t>
    </r>
    <r>
      <rPr>
        <sz val="10"/>
        <color theme="1"/>
        <rFont val="Century Gothic"/>
        <family val="2"/>
        <scheme val="minor"/>
      </rPr>
      <t xml:space="preserve">  du classeur. Sous l’onglet </t>
    </r>
    <r>
      <rPr>
        <b/>
        <sz val="10"/>
        <color theme="1"/>
        <rFont val="Century Gothic"/>
        <family val="2"/>
        <scheme val="minor"/>
      </rPr>
      <t>Révision</t>
    </r>
    <r>
      <rPr>
        <sz val="10"/>
        <color theme="1"/>
        <rFont val="Century Gothic"/>
        <family val="2"/>
        <scheme val="minor"/>
      </rPr>
      <t xml:space="preserve"> dans le groupe </t>
    </r>
    <r>
      <rPr>
        <b/>
        <sz val="10"/>
        <color theme="1"/>
        <rFont val="Century Gothic"/>
        <family val="2"/>
        <scheme val="minor"/>
      </rPr>
      <t>Modifications</t>
    </r>
    <r>
      <rPr>
        <sz val="10"/>
        <color theme="1"/>
        <rFont val="Century Gothic"/>
        <family val="2"/>
        <scheme val="minor"/>
      </rPr>
      <t xml:space="preserve"> cliquez sur</t>
    </r>
    <r>
      <rPr>
        <b/>
        <sz val="10"/>
        <color theme="1"/>
        <rFont val="Century Gothic"/>
        <family val="2"/>
        <scheme val="minor"/>
      </rPr>
      <t xml:space="preserve"> Protéger la feuille</t>
    </r>
    <r>
      <rPr>
        <sz val="10"/>
        <color theme="1"/>
        <rFont val="Century Gothic"/>
        <family val="2"/>
        <scheme val="minor"/>
      </rPr>
      <t xml:space="preserve">, puis sur </t>
    </r>
    <r>
      <rPr>
        <b/>
        <sz val="10"/>
        <color theme="1"/>
        <rFont val="Century Gothic"/>
        <family val="2"/>
        <scheme val="minor"/>
      </rPr>
      <t>OK.</t>
    </r>
    <phoneticPr fontId="44" type="noConversion"/>
  </si>
  <si>
    <r>
      <rPr>
        <b/>
        <sz val="10"/>
        <color theme="1"/>
        <rFont val="Century Gothic"/>
        <family val="2"/>
        <scheme val="minor"/>
      </rPr>
      <t>Conseil :</t>
    </r>
    <r>
      <rPr>
        <sz val="10"/>
        <color theme="1"/>
        <rFont val="Century Gothic"/>
        <family val="2"/>
        <scheme val="minor"/>
      </rPr>
      <t xml:space="preserve"> créez un ensemble de couleurs de thème personnalisé aux couleurs de votre école. Pour ce faire, sous l’onglet </t>
    </r>
    <r>
      <rPr>
        <b/>
        <sz val="10"/>
        <color theme="1"/>
        <rFont val="Century Gothic"/>
        <family val="2"/>
        <scheme val="minor"/>
      </rPr>
      <t>Mise en page</t>
    </r>
    <r>
      <rPr>
        <sz val="10"/>
        <color theme="1"/>
        <rFont val="Century Gothic"/>
        <family val="2"/>
        <scheme val="minor"/>
      </rPr>
      <t xml:space="preserve"> dans le groupe </t>
    </r>
    <r>
      <rPr>
        <b/>
        <sz val="10"/>
        <color theme="1"/>
        <rFont val="Century Gothic"/>
        <family val="2"/>
        <scheme val="minor"/>
      </rPr>
      <t>Thèmes</t>
    </r>
    <r>
      <rPr>
        <sz val="10"/>
        <color theme="1"/>
        <rFont val="Century Gothic"/>
        <family val="2"/>
        <scheme val="minor"/>
      </rPr>
      <t xml:space="preserve"> cliquez sur </t>
    </r>
    <r>
      <rPr>
        <b/>
        <sz val="10"/>
        <color theme="1"/>
        <rFont val="Century Gothic"/>
        <family val="2"/>
        <scheme val="minor"/>
      </rPr>
      <t>Couleurs</t>
    </r>
    <r>
      <rPr>
        <sz val="10"/>
        <color theme="1"/>
        <rFont val="Century Gothic"/>
        <family val="2"/>
        <scheme val="minor"/>
      </rPr>
      <t xml:space="preserve"> et, vers le bas de la galerie de couleurs, cliquez sur </t>
    </r>
    <r>
      <rPr>
        <b/>
        <sz val="10"/>
        <color theme="1"/>
        <rFont val="Century Gothic"/>
        <family val="2"/>
        <scheme val="minor"/>
      </rPr>
      <t>Nouvelles couleurs de thème</t>
    </r>
    <r>
      <rPr>
        <sz val="10"/>
        <color theme="1"/>
        <rFont val="Century Gothic"/>
        <family val="2"/>
        <scheme val="minor"/>
      </rPr>
      <t xml:space="preserve">. Pour plus d’informations sur la création d’un ensemble de couleurs personnalisé, voir la rubrique d’aide suivante : </t>
    </r>
    <phoneticPr fontId="44" type="noConversion"/>
  </si>
  <si>
    <r>
      <t xml:space="preserve">Pour ajouter un élève à une fiche de présence, cliquez dans une cellule sous la colonne </t>
    </r>
    <r>
      <rPr>
        <b/>
        <sz val="10"/>
        <color theme="1"/>
        <rFont val="Century Gothic"/>
        <family val="2"/>
        <scheme val="minor"/>
      </rPr>
      <t>Référence</t>
    </r>
    <r>
      <rPr>
        <sz val="10"/>
        <color theme="1"/>
        <rFont val="Century Gothic"/>
        <family val="2"/>
        <scheme val="minor"/>
      </rPr>
      <t xml:space="preserve"> et sélectionnez une référence dans la liste. Le nom de l’élève s’affiche automatiquement dès qu’une référence est sélectionnée. </t>
    </r>
    <phoneticPr fontId="44" type="noConversion"/>
  </si>
  <si>
    <r>
      <rPr>
        <b/>
        <sz val="10"/>
        <color theme="1"/>
        <rFont val="Century Gothic"/>
        <family val="2"/>
        <scheme val="minor"/>
      </rPr>
      <t xml:space="preserve">Conseil : </t>
    </r>
    <r>
      <rPr>
        <sz val="10"/>
        <color theme="1"/>
        <rFont val="Century Gothic"/>
        <family val="2"/>
        <scheme val="minor"/>
      </rPr>
      <t xml:space="preserve">évitez de devoir recommencer certaines étapes relatives à l’entrée de données. Une fois que vous avez ajouté vos élèves pour un mois, sélectionnez les références de ces élèves, copiez-les, puis collez-les dans la colonne </t>
    </r>
    <r>
      <rPr>
        <b/>
        <sz val="10"/>
        <color theme="1"/>
        <rFont val="Century Gothic"/>
        <family val="2"/>
        <scheme val="minor"/>
      </rPr>
      <t>Référence</t>
    </r>
    <r>
      <rPr>
        <sz val="10"/>
        <color theme="1"/>
        <rFont val="Century Gothic"/>
        <family val="2"/>
        <scheme val="minor"/>
      </rPr>
      <t xml:space="preserve"> des mois restants. </t>
    </r>
    <phoneticPr fontId="44" type="noConversion"/>
  </si>
  <si>
    <t>Entrez ensuite les informations de présence appropriées pour chaque jour du mois en utilisant les types d’information de présence indiqués dans Code de couleurs. L’assiduité des élèves est calculée automatiquement en fonction du type d’information de présence de chaque élève dans la colonne Total. Le total des absences quotidiennes est automatiquement calculé au bas du tableau dans la ligne de total.</t>
    <phoneticPr fontId="44" type="noConversion"/>
  </si>
  <si>
    <t>Les feuilles des fiches de présence mensuelles et la liste des élèves sont des tableaux Excel. Pour ajouter de nouvelles lignes à un tableau Excel, effectuez l’une des opérations suivantes :</t>
    <phoneticPr fontId="44" type="noConversion"/>
  </si>
  <si>
    <r>
      <t xml:space="preserve">La dernière feuille de ce classeur, Rapport de présence des élèves, permet d’effectuer le suivi de présence annuel à ce jour. Pour afficher un rapport spécifique à un élève, cliquez dans la cellule située sous </t>
    </r>
    <r>
      <rPr>
        <b/>
        <sz val="10"/>
        <color theme="1"/>
        <rFont val="Century Gothic"/>
        <family val="2"/>
        <scheme val="minor"/>
      </rPr>
      <t>Référence</t>
    </r>
    <r>
      <rPr>
        <sz val="10"/>
        <color theme="1"/>
        <rFont val="Century Gothic"/>
        <family val="2"/>
        <scheme val="minor"/>
      </rPr>
      <t xml:space="preserve"> et sélectionnez une référence dans la liste déroulante. Les informations que vous avez entrées 
précédemment dans la feuille Liste des élèves pour l’élève sélectionné s’affichent automatiquement. Notez que la première fois que vous utilisez la feuille Rapport de présence des élèves, vous devez entrer les informations relatives à l’école, au niveau, à l’enseignant et à la salle. Ces informations ne changent pas si vous sélectionnez un autre élève. </t>
    </r>
    <phoneticPr fontId="44" type="noConversion"/>
  </si>
  <si>
    <r>
      <t xml:space="preserve">Cliquez avec le bouton droit sur le tableau. Dans le menu contextuel, pointez sur </t>
    </r>
    <r>
      <rPr>
        <b/>
        <sz val="10"/>
        <color theme="1"/>
        <rFont val="Century Gothic"/>
        <family val="2"/>
        <scheme val="minor"/>
      </rPr>
      <t>Insérer</t>
    </r>
    <r>
      <rPr>
        <sz val="10"/>
        <color theme="1"/>
        <rFont val="Century Gothic"/>
        <family val="2"/>
        <scheme val="minor"/>
      </rPr>
      <t xml:space="preserve"> , puis cliquez sur </t>
    </r>
    <r>
      <rPr>
        <b/>
        <sz val="10"/>
        <color theme="1"/>
        <rFont val="Century Gothic"/>
        <family val="2"/>
        <scheme val="minor"/>
      </rPr>
      <t>Lignes de tableau en haut</t>
    </r>
    <r>
      <rPr>
        <sz val="10"/>
        <color theme="1"/>
        <rFont val="Century Gothic"/>
        <family val="2"/>
        <scheme val="minor"/>
      </rPr>
      <t xml:space="preserve"> ou </t>
    </r>
    <r>
      <rPr>
        <b/>
        <sz val="10"/>
        <color theme="1"/>
        <rFont val="Century Gothic"/>
        <family val="2"/>
        <scheme val="minor"/>
      </rPr>
      <t>Lignes de tableau en dessous</t>
    </r>
    <r>
      <rPr>
        <sz val="10"/>
        <color theme="1"/>
        <rFont val="Century Gothic"/>
        <family val="2"/>
        <scheme val="minor"/>
      </rPr>
      <t xml:space="preserve">. </t>
    </r>
    <phoneticPr fontId="44" type="noConversion"/>
  </si>
  <si>
    <t>Placez votre pointeur de cellule dans la dernière cellule située au-dessus de la ligne de total, par exemple la cellule Jours d’absence du dernier élève, puis appuyez sur la touche Tab.</t>
    <phoneticPr fontId="44" type="noConversion"/>
  </si>
  <si>
    <t>Nom complet de 
l’élève</t>
    <phoneticPr fontId="44" type="noConversion"/>
  </si>
  <si>
    <r>
      <rPr>
        <b/>
        <sz val="10"/>
        <color theme="4" tint="-0.499984740745262"/>
        <rFont val="Century Gothic"/>
        <family val="2"/>
        <scheme val="minor"/>
      </rPr>
      <t>Ajoutez vos élèves</t>
    </r>
    <r>
      <rPr>
        <b/>
        <sz val="10"/>
        <color theme="1"/>
        <rFont val="Century Gothic"/>
        <family val="2"/>
        <scheme val="minor"/>
      </rPr>
      <t> :</t>
    </r>
    <r>
      <rPr>
        <sz val="10"/>
        <color theme="1"/>
        <rFont val="Century Gothic"/>
        <family val="2"/>
        <scheme val="minor"/>
      </rPr>
      <t xml:space="preserve"> dans la feuille </t>
    </r>
    <r>
      <rPr>
        <b/>
        <sz val="10"/>
        <color theme="1"/>
        <rFont val="Century Gothic"/>
        <family val="2"/>
        <scheme val="minor"/>
      </rPr>
      <t>Liste des élèves</t>
    </r>
    <r>
      <rPr>
        <sz val="10"/>
        <color theme="1"/>
        <rFont val="Century Gothic"/>
        <family val="2"/>
        <scheme val="minor"/>
      </rPr>
      <t xml:space="preserve"> du classeur, entrez les informations relatives à chaque élève, par exemple les noms des parents/responsables et les données de contacts. La référence est une entrée importante, car elle fournit un identifiant unique pour chaque élève et est utilisée dans le classeur au sein des diverses listes déroulantes Référence dans le but de faciliter l’entrée des données. Les informations entrées dans la feuille Liste des élèves sont également utilisées dans d’autres feuilles, par exemple le Rapport de présence des élèves et les fiches de présence mensuelles.</t>
    </r>
  </si>
  <si>
    <t>n1</t>
  </si>
  <si>
    <t>sept</t>
  </si>
  <si>
    <t>oct</t>
  </si>
  <si>
    <t>nov</t>
  </si>
  <si>
    <t>dic</t>
  </si>
  <si>
    <t>ene</t>
  </si>
  <si>
    <t>feb</t>
  </si>
  <si>
    <t>mar</t>
  </si>
  <si>
    <t>abri</t>
  </si>
  <si>
    <t>abr</t>
  </si>
  <si>
    <t>may</t>
  </si>
  <si>
    <t>*8</t>
  </si>
  <si>
    <t>*15</t>
  </si>
  <si>
    <t>*29</t>
  </si>
  <si>
    <t>*19</t>
  </si>
  <si>
    <t>*26</t>
  </si>
  <si>
    <t>*3</t>
  </si>
  <si>
    <t>*10</t>
  </si>
  <si>
    <t>*17</t>
  </si>
  <si>
    <t>*24</t>
  </si>
  <si>
    <t>Colonne1</t>
  </si>
  <si>
    <t>LISTA DE PRESENCIA</t>
  </si>
  <si>
    <t>CATEQUESIS 2019-2020</t>
  </si>
  <si>
    <t>Comienzo del año catequético</t>
  </si>
  <si>
    <t>Retraso</t>
  </si>
  <si>
    <t>Justificado</t>
  </si>
  <si>
    <t>r</t>
  </si>
  <si>
    <t>Presente</t>
  </si>
  <si>
    <t>Dias de ausencia</t>
  </si>
  <si>
    <t>Ausente</t>
  </si>
  <si>
    <t>Iker</t>
  </si>
  <si>
    <t>Ambrosio</t>
  </si>
  <si>
    <t>maiksan_132408@outlook.es</t>
  </si>
  <si>
    <t>438 728-4670</t>
  </si>
  <si>
    <t>Deider Mateo</t>
  </si>
  <si>
    <t>Ambrosio Martinez</t>
  </si>
  <si>
    <t>abbdfdf</t>
  </si>
  <si>
    <t>Andrea Paola</t>
  </si>
  <si>
    <t>Barreto Cenfi</t>
  </si>
  <si>
    <t>cenfiandrea@gmail.com</t>
  </si>
  <si>
    <t>William José Barreto</t>
  </si>
  <si>
    <t>Lorymar Cenfi Ortiz</t>
  </si>
  <si>
    <t>438 368-3261</t>
  </si>
  <si>
    <t>514 431-5919</t>
  </si>
  <si>
    <t>Antonella Estephanie</t>
  </si>
  <si>
    <t xml:space="preserve">Marco Antonio </t>
  </si>
  <si>
    <t>mcenfi@hotmail.com</t>
  </si>
  <si>
    <t>Lorymar Cenfi</t>
  </si>
  <si>
    <t>Matéo</t>
  </si>
  <si>
    <t>Boutin</t>
  </si>
  <si>
    <t>christian.boutin1@gmail.com</t>
  </si>
  <si>
    <t>Christian Boutin</t>
  </si>
  <si>
    <t>veronique girodias</t>
  </si>
  <si>
    <t>438 530-2919</t>
  </si>
  <si>
    <t>veronique.girodias@gmail.com</t>
  </si>
  <si>
    <t>Mariajuliana</t>
  </si>
  <si>
    <t>Bustos</t>
  </si>
  <si>
    <t>monicalg30@yahoo.com</t>
  </si>
  <si>
    <t>Mónica Cristina Bustos Herrera</t>
  </si>
  <si>
    <t>Carlos Andrés Rubio Rubiano</t>
  </si>
  <si>
    <t>514 660-2471</t>
  </si>
  <si>
    <t>carubio76@yahoo.com</t>
  </si>
  <si>
    <t>Primera Comunión</t>
  </si>
  <si>
    <t>Dayana</t>
  </si>
  <si>
    <t>Carrera</t>
  </si>
  <si>
    <t>cristina.ushinahua@hotmail.com</t>
  </si>
  <si>
    <t>Cristina Ushinahua Jaramillo</t>
  </si>
  <si>
    <t xml:space="preserve">Myah </t>
  </si>
  <si>
    <t>Carrera Ushinahua</t>
  </si>
  <si>
    <t>Dayana Carrera Ushinahua</t>
  </si>
  <si>
    <t>Cristina Ushinahua</t>
  </si>
  <si>
    <t>514-664-1644</t>
  </si>
  <si>
    <t>David Andre</t>
  </si>
  <si>
    <t>Corcuera Hias</t>
  </si>
  <si>
    <t>raquelhias@hotmail.com</t>
  </si>
  <si>
    <t>Raquel Vieira Hias</t>
  </si>
  <si>
    <t>Grimaldo Corcuera</t>
  </si>
  <si>
    <t>g.corcuera@bell.net</t>
  </si>
  <si>
    <t>Lucas Emanuel</t>
  </si>
  <si>
    <t>Thiago Enrique</t>
  </si>
  <si>
    <t xml:space="preserve">Roberto </t>
  </si>
  <si>
    <t>Cruz Hernandez</t>
  </si>
  <si>
    <t>cruzmonrragaleopoldo@gmail.com</t>
  </si>
  <si>
    <t>Miriam Hernandez</t>
  </si>
  <si>
    <t>Leopoldo Cruz</t>
  </si>
  <si>
    <t>Jesus David</t>
  </si>
  <si>
    <t>Cuadra</t>
  </si>
  <si>
    <t>Faltan datos</t>
  </si>
  <si>
    <t>Lluvia Itzayana</t>
  </si>
  <si>
    <t>Cuadra Brito</t>
  </si>
  <si>
    <t>faltan datos fecha de nacimiento</t>
  </si>
  <si>
    <t>Adriana</t>
  </si>
  <si>
    <t>Curay</t>
  </si>
  <si>
    <t>criso5@hotmail.com</t>
  </si>
  <si>
    <t>Giancarlo Curay</t>
  </si>
  <si>
    <t>Cristina Fiandrino</t>
  </si>
  <si>
    <t>514 835-4078</t>
  </si>
  <si>
    <t>Joliana</t>
  </si>
  <si>
    <t>Dansereau</t>
  </si>
  <si>
    <t>erikanieva1980@hotmail.fr</t>
  </si>
  <si>
    <t>Erika</t>
  </si>
  <si>
    <t>514 465-8296</t>
  </si>
  <si>
    <t>Sairy</t>
  </si>
  <si>
    <t>De leon</t>
  </si>
  <si>
    <t>Medranodoris32@gmail.com</t>
  </si>
  <si>
    <t>Doris medrano</t>
  </si>
  <si>
    <t>Kisbel izhet</t>
  </si>
  <si>
    <t>De leon medrano</t>
  </si>
  <si>
    <t xml:space="preserve">Doris medrano </t>
  </si>
  <si>
    <t xml:space="preserve">Erik Antonio </t>
  </si>
  <si>
    <t>Erikrd@hotmail.com</t>
  </si>
  <si>
    <t>Luis David</t>
  </si>
  <si>
    <t>Esquivel Medina</t>
  </si>
  <si>
    <t>Salvaesq@gmail.com</t>
  </si>
  <si>
    <t>Salvador Esquivel Valerio</t>
  </si>
  <si>
    <t>Nora Elia Medina Martínez</t>
  </si>
  <si>
    <t>514 722 27 89</t>
  </si>
  <si>
    <t>noramedinaesq@gmail.com</t>
  </si>
  <si>
    <t xml:space="preserve">Salvador </t>
  </si>
  <si>
    <t xml:space="preserve">Esquivier Medina </t>
  </si>
  <si>
    <t xml:space="preserve">Nora Elia Medina Martinez </t>
  </si>
  <si>
    <t>514-722-2789</t>
  </si>
  <si>
    <t>Daphnie</t>
  </si>
  <si>
    <t>Esturain Hernandez</t>
  </si>
  <si>
    <t>Daphnieeh@hotmail.com</t>
  </si>
  <si>
    <t>Marisol Hernandez</t>
  </si>
  <si>
    <t>Tiffanie</t>
  </si>
  <si>
    <t>marisollamamasita@yahoo.ca</t>
  </si>
  <si>
    <t>514-909-9439</t>
  </si>
  <si>
    <t>Andrea</t>
  </si>
  <si>
    <t>Garcia Marroquin</t>
  </si>
  <si>
    <t>Victoriavidaurre@hotmail.com</t>
  </si>
  <si>
    <t>Victoria Marroquin</t>
  </si>
  <si>
    <t>Luisa Fernanda Garcia</t>
  </si>
  <si>
    <t>Rafael Fernando</t>
  </si>
  <si>
    <t>García Martinez</t>
  </si>
  <si>
    <t>rafaelk123@hotmail.com</t>
  </si>
  <si>
    <t>Rafael Fernanod García Martinez</t>
  </si>
  <si>
    <t xml:space="preserve">Camilo </t>
  </si>
  <si>
    <t xml:space="preserve">Gómez </t>
  </si>
  <si>
    <t xml:space="preserve">Paula Hernández Blanco </t>
  </si>
  <si>
    <t>Caminado con Jesús</t>
  </si>
  <si>
    <t>Camilo Emanuel</t>
  </si>
  <si>
    <t>Gómez Hernández</t>
  </si>
  <si>
    <t>paulatina_mex@hotmail.com</t>
  </si>
  <si>
    <t>Paula Jiret Hernández Blanco</t>
  </si>
  <si>
    <t>438- 985-7601</t>
  </si>
  <si>
    <t>Sinai del Rosario</t>
  </si>
  <si>
    <t>438 985-7601</t>
  </si>
  <si>
    <t xml:space="preserve">Aljoen Denis </t>
  </si>
  <si>
    <t>Gonzalez</t>
  </si>
  <si>
    <t>Arasy</t>
  </si>
  <si>
    <t>Guerrero</t>
  </si>
  <si>
    <t>Josmaciclon@hotmail.com</t>
  </si>
  <si>
    <t>Jose guerrero</t>
  </si>
  <si>
    <t>Yessica cortaza</t>
  </si>
  <si>
    <t>ycortaza@gmail.com</t>
  </si>
  <si>
    <t>Confirmación</t>
  </si>
  <si>
    <t>Jonas Angel</t>
  </si>
  <si>
    <t>Hernández</t>
  </si>
  <si>
    <t>chofa_henriquez@hotmail.com</t>
  </si>
  <si>
    <t>Carlos Hernandez</t>
  </si>
  <si>
    <t>Sofia Henriquez</t>
  </si>
  <si>
    <t>514 995-7865</t>
  </si>
  <si>
    <t>Brandon mattéo</t>
  </si>
  <si>
    <t>Hidalgo ushinahua</t>
  </si>
  <si>
    <t>Jhoanna_ushinahua@hotmail.com</t>
  </si>
  <si>
    <t xml:space="preserve">Jhoanna Ushinahua </t>
  </si>
  <si>
    <t xml:space="preserve">Gianpier honores </t>
  </si>
  <si>
    <t>Gpthebarber20@gmail.com</t>
  </si>
  <si>
    <t>Keyliana</t>
  </si>
  <si>
    <t>Jhoanna ushinahua</t>
  </si>
  <si>
    <t>Gianpier honores</t>
  </si>
  <si>
    <t>514-754-3313</t>
  </si>
  <si>
    <t>Mateo</t>
  </si>
  <si>
    <t>Jurado</t>
  </si>
  <si>
    <t>roximiranda@yahoo.es</t>
  </si>
  <si>
    <t>Roxana Miranda</t>
  </si>
  <si>
    <t>Miguel Jurado</t>
  </si>
  <si>
    <t>438 931-9269</t>
  </si>
  <si>
    <t>514 222 -9269</t>
  </si>
  <si>
    <t>mjurados@yahoo.es</t>
  </si>
  <si>
    <t>Isaac</t>
  </si>
  <si>
    <t>Lagomarcino</t>
  </si>
  <si>
    <t>Mirelli Fernandez</t>
  </si>
  <si>
    <t>Jean-Michel Sanchez Lagomarcino</t>
  </si>
  <si>
    <t>514 884-1176</t>
  </si>
  <si>
    <t>Edgar Alveiro</t>
  </si>
  <si>
    <t xml:space="preserve">Lagos Arciniegas </t>
  </si>
  <si>
    <t>edgar_st@live.ca</t>
  </si>
  <si>
    <t xml:space="preserve">Edgar Alveiro Lagos Arciniegas </t>
  </si>
  <si>
    <t>Mayson</t>
  </si>
  <si>
    <t>Lopera</t>
  </si>
  <si>
    <t>redhookproductions@hotmail.com</t>
  </si>
  <si>
    <t>Mariela Alonzo</t>
  </si>
  <si>
    <t>David Lopera</t>
  </si>
  <si>
    <t>514-916-0222</t>
  </si>
  <si>
    <t>514-916-0143</t>
  </si>
  <si>
    <t>Sandra</t>
  </si>
  <si>
    <t>Lopez</t>
  </si>
  <si>
    <t>sandlopez321@hotmail.com</t>
  </si>
  <si>
    <t>Sandra Lopez</t>
  </si>
  <si>
    <t>Sandra Lizette Lopez</t>
  </si>
  <si>
    <t>Gerson</t>
  </si>
  <si>
    <t>Maria</t>
  </si>
  <si>
    <t>Yrennmercedes@gmail.com</t>
  </si>
  <si>
    <t>Yrennelly Mercedes</t>
  </si>
  <si>
    <t xml:space="preserve">Yrennelly Mercedes </t>
  </si>
  <si>
    <t>514-5800389</t>
  </si>
  <si>
    <t xml:space="preserve">Sebastián </t>
  </si>
  <si>
    <t>Marroquin Vidaurre</t>
  </si>
  <si>
    <t xml:space="preserve">Luisa Fernanda Garcia </t>
  </si>
  <si>
    <t xml:space="preserve">Fernanda Marisol </t>
  </si>
  <si>
    <t>Mejia Alvarez</t>
  </si>
  <si>
    <t>el_s_marba@hotmail.com</t>
  </si>
  <si>
    <t>Marcela Banezza Alvarez Calderon</t>
  </si>
  <si>
    <t xml:space="preserve">David Geovani Mejia </t>
  </si>
  <si>
    <t>dgaquino@hotmail.com</t>
  </si>
  <si>
    <t>MARIA JOSE</t>
  </si>
  <si>
    <t>MEJIA LOPEZ</t>
  </si>
  <si>
    <t>danlopez403@gmail.com</t>
  </si>
  <si>
    <t>DANIEL MEJIA</t>
  </si>
  <si>
    <t>SANDRA LOPEZ</t>
  </si>
  <si>
    <t>Emiliano</t>
  </si>
  <si>
    <t>Mendoza Knapp</t>
  </si>
  <si>
    <t>Julio esar Mendoza</t>
  </si>
  <si>
    <t>Maria Guadalupe Knapp Uranga</t>
  </si>
  <si>
    <t>Santigo</t>
  </si>
  <si>
    <t>Molina</t>
  </si>
  <si>
    <t>Paula Blanco</t>
  </si>
  <si>
    <t>Sofia</t>
  </si>
  <si>
    <t>Montufar</t>
  </si>
  <si>
    <t>Susana Montufar</t>
  </si>
  <si>
    <t>Susana</t>
  </si>
  <si>
    <t>susaniita.m@gmail.com</t>
  </si>
  <si>
    <t>Juan Diego</t>
  </si>
  <si>
    <t>Mora Borda</t>
  </si>
  <si>
    <t>cborda2015@gmail.com</t>
  </si>
  <si>
    <t>Claudia Viviana Borda Aragón</t>
  </si>
  <si>
    <t>William Mora Guerra</t>
  </si>
  <si>
    <t>wimogue@gmail.com</t>
  </si>
  <si>
    <t>Robert Dean</t>
  </si>
  <si>
    <t>Mosquera</t>
  </si>
  <si>
    <t>Kerry Mosquera</t>
  </si>
  <si>
    <t>Carmen Alicia Restrepo</t>
  </si>
  <si>
    <t>438 823-1314</t>
  </si>
  <si>
    <t>Laura Camila</t>
  </si>
  <si>
    <t>Munevar</t>
  </si>
  <si>
    <t>claudlusa@hotmail.com</t>
  </si>
  <si>
    <t>Claudia Lucia Sandoval Munevar</t>
  </si>
  <si>
    <t>Alexis Garcia Rivera</t>
  </si>
  <si>
    <t>alxs1977@Hotmail.com</t>
  </si>
  <si>
    <t xml:space="preserve"> DEREK</t>
  </si>
  <si>
    <t>MUNOZ MORA</t>
  </si>
  <si>
    <t>yisse23@hotmail.fr</t>
  </si>
  <si>
    <t>YISENIA MORA FALLAS</t>
  </si>
  <si>
    <t>RONY MUNOZ FERNANDEZ</t>
  </si>
  <si>
    <t>ronmf@hotmail.com</t>
  </si>
  <si>
    <t>RUT YILANA</t>
  </si>
  <si>
    <t>Jeshua Alexander</t>
  </si>
  <si>
    <t>Narvaez Emes</t>
  </si>
  <si>
    <t>gerardo-narvaez@hotmail.com</t>
  </si>
  <si>
    <t>Gerardo Narvaez</t>
  </si>
  <si>
    <t>Norma Elena Emes</t>
  </si>
  <si>
    <t>514-559-7577</t>
  </si>
  <si>
    <t>narem1997@yahoo.ca</t>
  </si>
  <si>
    <t xml:space="preserve">Allison Rubí </t>
  </si>
  <si>
    <t>Polanco Monzon</t>
  </si>
  <si>
    <t>momotsi@sympatico.ca</t>
  </si>
  <si>
    <t>Claudia Monzon</t>
  </si>
  <si>
    <t>Gladys Monzon</t>
  </si>
  <si>
    <t>514-688-5802</t>
  </si>
  <si>
    <t>514-770-7819</t>
  </si>
  <si>
    <t>perfecttia@hotmail.com</t>
  </si>
  <si>
    <t>Erika Camila</t>
  </si>
  <si>
    <t xml:space="preserve">Quintanilla </t>
  </si>
  <si>
    <t>Erika.camilaq@gmail.com</t>
  </si>
  <si>
    <t xml:space="preserve">Alvaro Vargas </t>
  </si>
  <si>
    <t xml:space="preserve">Evelyn Quintanilla </t>
  </si>
  <si>
    <t>Evelyn_quintanilla031@hotmail.com</t>
  </si>
  <si>
    <t xml:space="preserve">Sebastian </t>
  </si>
  <si>
    <t xml:space="preserve">Quintero </t>
  </si>
  <si>
    <t>dollyval@hotmail.com</t>
  </si>
  <si>
    <t>Dolly Valbuena</t>
  </si>
  <si>
    <t xml:space="preserve">Jaime Quintero </t>
  </si>
  <si>
    <t>Restrepo Barrera</t>
  </si>
  <si>
    <t>Juan Carlos Restrepo</t>
  </si>
  <si>
    <t>438 886-4203</t>
  </si>
  <si>
    <t>514 475-7278</t>
  </si>
  <si>
    <t>juancarlosrestrepoprofesor@gmail.com</t>
  </si>
  <si>
    <t>Wendy Sofia</t>
  </si>
  <si>
    <t>Reyes Gracia</t>
  </si>
  <si>
    <t>Wendygracia1@hotmail.com</t>
  </si>
  <si>
    <t>Wendy Gracia</t>
  </si>
  <si>
    <t xml:space="preserve">Jose Elmer Reyes Vijil </t>
  </si>
  <si>
    <t>Tazma_10@hotmail.com</t>
  </si>
  <si>
    <t xml:space="preserve">Isabella </t>
  </si>
  <si>
    <t>Rubio Bustos</t>
  </si>
  <si>
    <t>Amigos de Jesus</t>
  </si>
  <si>
    <t>Maria Camila</t>
  </si>
  <si>
    <t>Sarmiento Casas</t>
  </si>
  <si>
    <t>heidi_casas@hotmail.com</t>
  </si>
  <si>
    <t>Heidi Casas</t>
  </si>
  <si>
    <t>Efrain Sarmiento</t>
  </si>
  <si>
    <t>514 573-5328</t>
  </si>
  <si>
    <t>Valentina</t>
  </si>
  <si>
    <t>Lea del Carmen</t>
  </si>
  <si>
    <t>Serrano Jimenez</t>
  </si>
  <si>
    <t>lehalopez@yahoo.com</t>
  </si>
  <si>
    <t>Elias Serrano</t>
  </si>
  <si>
    <t>Leha Yanira Jimenez</t>
  </si>
  <si>
    <t>438 831-4913</t>
  </si>
  <si>
    <t>Solis Rodriguez</t>
  </si>
  <si>
    <t>monica_ro71@hotmail.com</t>
  </si>
  <si>
    <t>Monica Rodriguez</t>
  </si>
  <si>
    <t>Marlon Solis Fosado</t>
  </si>
  <si>
    <t>514-688-5812</t>
  </si>
  <si>
    <t>514-688-0489</t>
  </si>
  <si>
    <t>marlonmex@yahoo.com</t>
  </si>
  <si>
    <t xml:space="preserve">Rebeca </t>
  </si>
  <si>
    <t>Valencia Rios</t>
  </si>
  <si>
    <t>juanca_valencia@hotmail.com</t>
  </si>
  <si>
    <t>Juan Camilo Valencia Diaz</t>
  </si>
  <si>
    <t>Claudia Marcela Ríos Betancur</t>
  </si>
  <si>
    <t>clarebe2003@hotmail.com</t>
  </si>
  <si>
    <t xml:space="preserve">Ashley </t>
  </si>
  <si>
    <t>Vargas</t>
  </si>
  <si>
    <t>joannavargas1@hotmail.com</t>
  </si>
  <si>
    <t>Melvin Suero de La Cruz</t>
  </si>
  <si>
    <t>Angelica Joanna Vargas</t>
  </si>
  <si>
    <t>514 623-6809</t>
  </si>
  <si>
    <t>514 585-6809</t>
  </si>
  <si>
    <t>Steven Mauricio</t>
  </si>
  <si>
    <t>VILLALTA   Aquino</t>
  </si>
  <si>
    <t>Carnelita2126@hotmail.es</t>
  </si>
  <si>
    <t>YANIRA VILLALTA</t>
  </si>
  <si>
    <t>Carlos  Aquino</t>
  </si>
  <si>
    <t>514 278 66 08</t>
  </si>
  <si>
    <t>Juan Pablo</t>
  </si>
  <si>
    <t>Villareal Rivera</t>
  </si>
  <si>
    <t>airama11@hotmail.com</t>
  </si>
  <si>
    <t>José Anibal Villareal</t>
  </si>
  <si>
    <t>Ana Maria Rivera</t>
  </si>
  <si>
    <t>514 605-1025</t>
  </si>
  <si>
    <t>MAYA</t>
  </si>
  <si>
    <t>WONG QUIJANO</t>
  </si>
  <si>
    <t>bmw2.5dtech@hotmail.com</t>
  </si>
  <si>
    <t>William quijano</t>
  </si>
  <si>
    <t>Diana wong</t>
  </si>
  <si>
    <t>peeweewong666@gmail.com</t>
  </si>
  <si>
    <t>Pablo</t>
  </si>
  <si>
    <t>Zuniga</t>
  </si>
  <si>
    <t>zunigajc@gmail.com</t>
  </si>
  <si>
    <t>Juan Carlos Zúñiga</t>
  </si>
  <si>
    <t>Lorena Gilling</t>
  </si>
  <si>
    <t>lorenagilling@yahoo.com</t>
  </si>
  <si>
    <t>Grupo</t>
  </si>
  <si>
    <t>Nombre</t>
  </si>
  <si>
    <t>Apellido</t>
  </si>
  <si>
    <t>Amigos de Jesús</t>
  </si>
  <si>
    <t>susirpobag@gmail.com</t>
  </si>
  <si>
    <t>LISTA DE CATEQUIZANDOS - MISION SANTA TERESA DE AVILA</t>
  </si>
  <si>
    <t>correo electrónico</t>
  </si>
  <si>
    <t>Persona responsable 1</t>
  </si>
  <si>
    <t>Persona responsable 2</t>
  </si>
  <si>
    <t>Telefono principal</t>
  </si>
  <si>
    <t>Telefono 2</t>
  </si>
  <si>
    <t>correo electronico de responsable 2</t>
  </si>
  <si>
    <t>f. de nacimiento</t>
  </si>
  <si>
    <t>Confirmacion</t>
  </si>
  <si>
    <t>Primeros pasos</t>
  </si>
  <si>
    <t>Catequesis adultos</t>
  </si>
  <si>
    <t>Responsable 1</t>
  </si>
  <si>
    <t>Responsable 2</t>
  </si>
  <si>
    <t>Telefono 1</t>
  </si>
  <si>
    <t>Correo electronico</t>
  </si>
  <si>
    <t>CATEQUISTAS: TATIANA MENDEZ E YRENNELLY MERCEDES</t>
  </si>
  <si>
    <t>CONFIRMACION ADULTOS</t>
  </si>
  <si>
    <t>CATEQUISTAS: Mariela Basaldua</t>
  </si>
  <si>
    <t>CAMINANDO CON JESUS</t>
  </si>
  <si>
    <t>CATEQUISTAS: MARIA CECILIA MONTOYA Y MARIA ELENA ORDONEZ</t>
  </si>
  <si>
    <t>CONFIRMACION</t>
  </si>
  <si>
    <t>CATEQUISTAS: DAVID CUERVO Y GUSTAVO ORJUELA</t>
  </si>
  <si>
    <t>PRIMERA COMUNION</t>
  </si>
  <si>
    <t>CATEQUISTAS: ROXANA MIRANDA, MIGUEL JURADO Y LIBIA POLO</t>
  </si>
  <si>
    <t>Caminando con Jesús</t>
  </si>
  <si>
    <t>CATEQUISTAS: RONNY MUNOZ Y YISSENIA MORA</t>
  </si>
  <si>
    <t xml:space="preserve">CATEQUISTAS: </t>
  </si>
  <si>
    <t>fecha nacimiento</t>
  </si>
  <si>
    <t>Molina Santigo</t>
  </si>
  <si>
    <t>Jurado Mateo</t>
  </si>
  <si>
    <t>Ambrosio Martinez Deider Mateo</t>
  </si>
  <si>
    <t>Hidalgo ushinahua Keyliana</t>
  </si>
  <si>
    <t>Curay Adriana</t>
  </si>
  <si>
    <t xml:space="preserve">Cruz Hernandez Roberto </t>
  </si>
  <si>
    <t>MUNOZ MORA RUT YILANA</t>
  </si>
  <si>
    <t>Cuadra Brito Lluvia Itzayana</t>
  </si>
  <si>
    <t xml:space="preserve">Gómez  Camilo </t>
  </si>
  <si>
    <t>Gómez Hernández Camilo Emanuel</t>
  </si>
  <si>
    <t>Ambrosio Iker</t>
  </si>
  <si>
    <t>Serrano Jimenez Lea del Carmen</t>
  </si>
  <si>
    <t>Esquivel Medina Luis David</t>
  </si>
  <si>
    <t>Lopera Mayson</t>
  </si>
  <si>
    <t>Cuadra Jesus David</t>
  </si>
  <si>
    <t xml:space="preserve">Carrera Myah </t>
  </si>
  <si>
    <t>De leon medrano Kisbel izhet</t>
  </si>
  <si>
    <t xml:space="preserve">Barreto Cenfi Marco Antonio </t>
  </si>
  <si>
    <t xml:space="preserve">Rubio Bustos Isabella </t>
  </si>
  <si>
    <t xml:space="preserve">Valencia Rios Rebeca </t>
  </si>
  <si>
    <t>Montufar Sofia</t>
  </si>
  <si>
    <t>Corcuera Hias David Andre</t>
  </si>
  <si>
    <t xml:space="preserve">Gonzalez Aljoen Denis </t>
  </si>
  <si>
    <t>Zuniga Pablo</t>
  </si>
  <si>
    <t>MEJIA LOPEZ MARIA JOSE</t>
  </si>
  <si>
    <t>Reyes Gracia Wendy Sofia</t>
  </si>
  <si>
    <t>Sarmiento Casas Valentina</t>
  </si>
  <si>
    <t>Mora Borda Juan Diego</t>
  </si>
  <si>
    <t>Dansereau Joliana</t>
  </si>
  <si>
    <t>Hidalgo ushinahua Brandon mattéo</t>
  </si>
  <si>
    <t>Boutin Matéo</t>
  </si>
  <si>
    <t>Gómez Hernández Sinai del Rosario</t>
  </si>
  <si>
    <t xml:space="preserve">Vargas Ashley </t>
  </si>
  <si>
    <t xml:space="preserve">Mejia Alvarez Fernanda Marisol </t>
  </si>
  <si>
    <t>Guerrero Arasy</t>
  </si>
  <si>
    <t>Mendoza Knapp Emiliano</t>
  </si>
  <si>
    <t>MUNOZ MORA  DEREK</t>
  </si>
  <si>
    <t>Hernández Jonas Angel</t>
  </si>
  <si>
    <t>Lagomarcino Isaac</t>
  </si>
  <si>
    <t xml:space="preserve">Marroquin Vidaurre Sebastián </t>
  </si>
  <si>
    <t xml:space="preserve">Polanco Monzon Allison Rubí </t>
  </si>
  <si>
    <t xml:space="preserve">Quintero  Sebastian </t>
  </si>
  <si>
    <t>Narvaez Emes Jeshua Alexander</t>
  </si>
  <si>
    <t>Maria Gerson</t>
  </si>
  <si>
    <t>Bustos Mariajuliana</t>
  </si>
  <si>
    <t>Sarmiento Casas Maria Camila</t>
  </si>
  <si>
    <t>Munevar Laura Camila</t>
  </si>
  <si>
    <t>Barreto Cenfi Antonella Estephanie</t>
  </si>
  <si>
    <t>Carrera Ushinahua Dayana</t>
  </si>
  <si>
    <t>Corcuera Hias Lucas Emanuel</t>
  </si>
  <si>
    <t>VILLALTA   Aquino Steven Mauricio</t>
  </si>
  <si>
    <t>WONG QUIJANO MAYA</t>
  </si>
  <si>
    <t>De leon Sairy</t>
  </si>
  <si>
    <t xml:space="preserve">Esquivier Medina  Salvador </t>
  </si>
  <si>
    <t>Corcuera Hias Thiago Enrique</t>
  </si>
  <si>
    <t>Solis Rodriguez Sofia</t>
  </si>
  <si>
    <t>Quintanilla  Erika Camila</t>
  </si>
  <si>
    <t>Villareal Rivera Juan Pablo</t>
  </si>
  <si>
    <t>Mosquera Robert Dean</t>
  </si>
  <si>
    <t>Barreto Cenfi Andrea Paola</t>
  </si>
  <si>
    <t>Garcia Marroquin Andrea</t>
  </si>
  <si>
    <t>Restrepo Barrera Susana</t>
  </si>
  <si>
    <t>Esturain Hernandez Daphnie</t>
  </si>
  <si>
    <t>Esturain Hernandez Tiffanie</t>
  </si>
  <si>
    <t>Montufar Susana</t>
  </si>
  <si>
    <t>Lagos Arciniegas  Edgar Alveiro</t>
  </si>
  <si>
    <t>García Martinez Rafael Fernando</t>
  </si>
  <si>
    <t>Lopez Sandra</t>
  </si>
  <si>
    <t>Padres de familia</t>
  </si>
  <si>
    <t>fecha de nacimiento</t>
  </si>
  <si>
    <t>CATEQUISTAS: TERE MANCIO, MARY ANNE Y MONICA NORAS</t>
  </si>
  <si>
    <t>maiksan132408@outlook.es</t>
  </si>
  <si>
    <t xml:space="preserve">Maria del Carmen </t>
  </si>
  <si>
    <t xml:space="preserve">Olano Pons Maria del Carmen </t>
  </si>
  <si>
    <t>olano1988@hotmail.com</t>
  </si>
  <si>
    <t>Maria del Carmen</t>
  </si>
  <si>
    <t>Olano Pons</t>
  </si>
  <si>
    <t xml:space="preserve">Olano Pons </t>
  </si>
  <si>
    <t>Rodríguez leiva</t>
  </si>
  <si>
    <t>Rodriguez Leiva Jorge Hugo</t>
  </si>
  <si>
    <t>sorejuel1967@gmail.com</t>
  </si>
  <si>
    <t>Jorge Hugo</t>
  </si>
  <si>
    <t>JULIAN</t>
  </si>
  <si>
    <t>GIRALDO</t>
  </si>
  <si>
    <t>Daniel</t>
  </si>
  <si>
    <t>Sánchez Vallejo</t>
  </si>
  <si>
    <t>Alejandra</t>
  </si>
  <si>
    <t>ALONSO GIRALDO</t>
  </si>
  <si>
    <t>César Augusto Sánchez</t>
  </si>
  <si>
    <t>yovaqui@yahoo.ca</t>
  </si>
  <si>
    <t>Yolanda Vallejo Quintero</t>
  </si>
  <si>
    <t>Giraldo Julian</t>
  </si>
  <si>
    <t>Sánchez Vallejo Daniel</t>
  </si>
  <si>
    <t>Sánchez Vallejo Alejandra</t>
  </si>
  <si>
    <t>Sarai</t>
  </si>
  <si>
    <t>Rosales</t>
  </si>
  <si>
    <t>Florbebe09@hotmail.ca</t>
  </si>
  <si>
    <t>Daysi del Carmen Ayala</t>
  </si>
  <si>
    <t>Miguel Rosales</t>
  </si>
  <si>
    <t>Rosales Sarai</t>
  </si>
  <si>
    <t>CATEQUISTAS: JOSÉ Y PAUL ESPINOZA</t>
  </si>
  <si>
    <t>catequesis 2019-2020</t>
  </si>
  <si>
    <t>Catequesis 2019-2020</t>
  </si>
  <si>
    <t>CATEQUISTAS:  CARMEN Y PAUL ESPINOZA</t>
  </si>
  <si>
    <t>Alejandra y Daniel Sánchez</t>
  </si>
  <si>
    <t>Julian</t>
  </si>
  <si>
    <t>Fonte</t>
  </si>
  <si>
    <t>3901360@csatic.ca</t>
  </si>
  <si>
    <t>rfonte@hotmail.com</t>
  </si>
  <si>
    <t>Roberto Fonte</t>
  </si>
  <si>
    <t>Teresa Martoccia</t>
  </si>
  <si>
    <t>514 519-5185</t>
  </si>
  <si>
    <t>514 898-1923</t>
  </si>
  <si>
    <t>514 242-3972</t>
  </si>
  <si>
    <t>Emilie</t>
  </si>
  <si>
    <t>Torres Leyva</t>
  </si>
  <si>
    <t>grisol-22@hotmail.com</t>
  </si>
  <si>
    <t>Mauro Torres</t>
  </si>
  <si>
    <t>Graciela Leyva</t>
  </si>
  <si>
    <t>4514 473-8446</t>
  </si>
  <si>
    <t>514 909-1428</t>
  </si>
  <si>
    <t>Isabella</t>
  </si>
  <si>
    <t>Almando Diego</t>
  </si>
  <si>
    <t>Valdez</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</si>
</sst>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
    <numFmt numFmtId="165" formatCode="mm/dd/yy;@"/>
    <numFmt numFmtId="166" formatCode="[&lt;=9999999]###\-####;\(###\)\ ###\-####"/>
    <numFmt numFmtId="167" formatCode="0;0;;@"/>
    <numFmt numFmtId="168" formatCode="_)@"/>
    <numFmt numFmtId="169" formatCode="[$-40C]mmm\-yy"/>
    <numFmt numFmtId="170" formatCode="[$-F800]dddd\,\ mmmm\ dd\,\ yyyy"/>
  </numFmts>
  <fonts count="63">
    <font>
      <sz val="10"/>
      <color theme="1"/>
      <name val="Century Gothic"/>
      <family val="2"/>
      <scheme val="minor"/>
    </font>
    <font>
      <sz val="11"/>
      <color theme="1"/>
      <name val="Century Gothic"/>
      <family val="2"/>
      <scheme val="minor"/>
    </font>
    <font>
      <sz val="10"/>
      <name val="Century Gothic"/>
      <family val="2"/>
    </font>
    <font>
      <b/>
      <sz val="12"/>
      <name val="Arial"/>
      <family val="2"/>
    </font>
    <font>
      <sz val="9"/>
      <name val="Century Gothic"/>
      <family val="2"/>
    </font>
    <font>
      <b/>
      <sz val="20"/>
      <name val="Century Gothic"/>
      <family val="1"/>
      <scheme val="major"/>
    </font>
    <font>
      <sz val="16"/>
      <name val="Century Gothic"/>
      <family val="1"/>
      <scheme val="major"/>
    </font>
    <font>
      <b/>
      <sz val="8"/>
      <color theme="1" tint="0.14996795556505021"/>
      <name val="Century Gothic"/>
      <family val="1"/>
      <scheme val="minor"/>
    </font>
    <font>
      <sz val="8"/>
      <name val="Century Gothic"/>
      <family val="1"/>
      <scheme val="minor"/>
    </font>
    <font>
      <b/>
      <sz val="8"/>
      <color theme="1" tint="0.14996795556505021"/>
      <name val="Century Gothic"/>
      <family val="2"/>
      <scheme val="minor"/>
    </font>
    <font>
      <sz val="8"/>
      <name val="Century Gothic"/>
      <family val="2"/>
      <scheme val="minor"/>
    </font>
    <font>
      <sz val="9"/>
      <name val="Century Gothic"/>
      <family val="1"/>
      <scheme val="major"/>
    </font>
    <font>
      <b/>
      <sz val="8"/>
      <color theme="0"/>
      <name val="Century Gothic"/>
      <family val="1"/>
      <scheme val="major"/>
    </font>
    <font>
      <sz val="9"/>
      <color theme="0"/>
      <name val="Century Gothic"/>
      <family val="1"/>
      <scheme val="major"/>
    </font>
    <font>
      <b/>
      <sz val="9"/>
      <color theme="0"/>
      <name val="Century Gothic"/>
      <family val="1"/>
      <scheme val="major"/>
    </font>
    <font>
      <sz val="10"/>
      <name val="Century Gothic"/>
      <family val="2"/>
      <scheme val="minor"/>
    </font>
    <font>
      <b/>
      <sz val="12"/>
      <name val="Century Gothic"/>
      <family val="2"/>
      <scheme val="minor"/>
    </font>
    <font>
      <b/>
      <sz val="22"/>
      <color theme="0"/>
      <name val="Century Gothic"/>
      <family val="2"/>
      <scheme val="major"/>
    </font>
    <font>
      <b/>
      <sz val="16"/>
      <color theme="0"/>
      <name val="Century Gothic"/>
      <family val="2"/>
      <scheme val="minor"/>
    </font>
    <font>
      <sz val="9"/>
      <name val="Century Gothic"/>
      <family val="2"/>
      <scheme val="minor"/>
    </font>
    <font>
      <b/>
      <sz val="10"/>
      <color theme="1"/>
      <name val="Century Gothic"/>
      <family val="2"/>
      <scheme val="minor"/>
    </font>
    <font>
      <sz val="10"/>
      <color theme="1"/>
      <name val="Century Gothic"/>
      <family val="2"/>
      <scheme val="major"/>
    </font>
    <font>
      <b/>
      <sz val="11"/>
      <color indexed="9"/>
      <name val="Century Gothic"/>
      <family val="1"/>
      <scheme val="major"/>
    </font>
    <font>
      <sz val="9"/>
      <color theme="1"/>
      <name val="Century Gothic"/>
      <family val="2"/>
      <scheme val="minor"/>
    </font>
    <font>
      <b/>
      <sz val="18"/>
      <color theme="0"/>
      <name val="Century Gothic"/>
      <family val="2"/>
      <scheme val="minor"/>
    </font>
    <font>
      <b/>
      <sz val="16"/>
      <color theme="0"/>
      <name val="Century Gothic"/>
      <family val="1"/>
      <scheme val="major"/>
    </font>
    <font>
      <sz val="8"/>
      <color theme="1"/>
      <name val="Century Gothic"/>
      <family val="2"/>
      <scheme val="minor"/>
    </font>
    <font>
      <b/>
      <sz val="16"/>
      <color theme="0"/>
      <name val="Century Gothic"/>
      <family val="2"/>
      <scheme val="major"/>
    </font>
    <font>
      <b/>
      <i/>
      <sz val="14"/>
      <color theme="0"/>
      <name val="Century Gothic"/>
      <family val="2"/>
      <scheme val="major"/>
    </font>
    <font>
      <sz val="12"/>
      <color theme="3"/>
      <name val="Century Gothic"/>
      <family val="2"/>
      <scheme val="minor"/>
    </font>
    <font>
      <sz val="10"/>
      <color theme="4" tint="-0.499984740745262"/>
      <name val="Century Gothic"/>
      <family val="2"/>
      <scheme val="minor"/>
    </font>
    <font>
      <u/>
      <sz val="10"/>
      <color theme="10"/>
      <name val="Arial"/>
      <family val="2"/>
    </font>
    <font>
      <b/>
      <sz val="10"/>
      <color theme="4" tint="-0.499984740745262"/>
      <name val="Century Gothic"/>
      <family val="2"/>
      <scheme val="minor"/>
    </font>
    <font>
      <b/>
      <i/>
      <sz val="10"/>
      <color theme="4" tint="-0.499984740745262"/>
      <name val="Century Gothic"/>
      <family val="2"/>
      <scheme val="minor"/>
    </font>
    <font>
      <b/>
      <sz val="9"/>
      <color theme="4" tint="-0.499984740745262"/>
      <name val="Century Gothic"/>
      <family val="1"/>
      <scheme val="major"/>
    </font>
    <font>
      <sz val="9"/>
      <name val="Century Gothic"/>
      <family val="1"/>
      <scheme val="minor"/>
    </font>
    <font>
      <b/>
      <sz val="9"/>
      <color theme="1" tint="0.14996795556505021"/>
      <name val="Century Gothic"/>
      <family val="1"/>
      <scheme val="major"/>
    </font>
    <font>
      <sz val="9"/>
      <color theme="3" tint="-0.249977111117893"/>
      <name val="Century Gothic"/>
      <family val="1"/>
      <scheme val="major"/>
    </font>
    <font>
      <b/>
      <sz val="9"/>
      <color theme="3" tint="-0.249977111117893"/>
      <name val="Century Gothic"/>
      <family val="1"/>
      <scheme val="major"/>
    </font>
    <font>
      <sz val="9"/>
      <color theme="3" tint="-0.249977111117893"/>
      <name val="Century Gothic"/>
      <family val="1"/>
      <scheme val="minor"/>
    </font>
    <font>
      <sz val="9"/>
      <color theme="1"/>
      <name val="Century Gothic"/>
      <family val="1"/>
      <scheme val="minor"/>
    </font>
    <font>
      <b/>
      <sz val="9"/>
      <color theme="1" tint="0.14996795556505021"/>
      <name val="Century Gothic"/>
      <family val="1"/>
      <scheme val="minor"/>
    </font>
    <font>
      <b/>
      <sz val="8"/>
      <name val="Century Gothic"/>
      <family val="2"/>
      <scheme val="major"/>
    </font>
    <font>
      <condense/>
      <extend/>
      <outline/>
      <shadow/>
      <sz val="10"/>
      <color theme="1"/>
      <name val="Century Gothic"/>
      <family val="2"/>
      <scheme val="minor"/>
    </font>
    <font>
      <sz val="9"/>
      <name val="Century Gothic"/>
      <family val="3"/>
      <charset val="136"/>
      <scheme val="minor"/>
    </font>
    <font>
      <sz val="8"/>
      <color theme="0"/>
      <name val="Century Gothic"/>
      <family val="1"/>
      <scheme val="major"/>
    </font>
    <font>
      <b/>
      <i/>
      <strike/>
      <condense/>
      <extend/>
      <outline/>
      <shadow/>
      <sz val="10"/>
      <color theme="1"/>
      <name val="Century Gothic"/>
      <family val="2"/>
      <scheme val="minor"/>
    </font>
    <font>
      <b/>
      <i/>
      <strike/>
      <condense/>
      <extend/>
      <outline/>
      <shadow/>
      <sz val="10"/>
      <color theme="1"/>
      <name val="Century Gothic"/>
      <family val="2"/>
      <scheme val="minor"/>
    </font>
    <font>
      <sz val="14"/>
      <name val="Century Gothic"/>
      <family val="2"/>
      <scheme val="minor"/>
    </font>
    <font>
      <strike/>
      <outline/>
      <shadow/>
      <sz val="10"/>
      <color theme="1"/>
      <name val="Century Gothic"/>
      <family val="2"/>
      <scheme val="minor"/>
    </font>
    <font>
      <sz val="12"/>
      <color theme="1"/>
      <name val="Century Gothic"/>
      <family val="2"/>
      <scheme val="minor"/>
    </font>
    <font>
      <sz val="12"/>
      <name val="Century Gothic"/>
      <family val="2"/>
    </font>
    <font>
      <sz val="12"/>
      <color theme="1"/>
      <name val="Century Gothic"/>
      <family val="2"/>
      <scheme val="minor"/>
    </font>
    <font>
      <b/>
      <i/>
      <strike/>
      <condense/>
      <extend/>
      <outline/>
      <shadow/>
      <sz val="12"/>
      <color theme="1"/>
      <name val="Century Gothic"/>
      <family val="2"/>
      <scheme val="minor"/>
    </font>
    <font>
      <condense/>
      <extend/>
      <outline/>
      <shadow/>
      <sz val="10"/>
      <color theme="1"/>
      <name val="Century Gothic"/>
      <scheme val="minor"/>
    </font>
    <font>
      <b/>
      <i/>
      <strike/>
      <condense/>
      <extend/>
      <outline/>
      <shadow/>
      <sz val="10"/>
      <color theme="1"/>
      <name val="Century Gothic"/>
      <scheme val="minor"/>
    </font>
    <font>
      <b/>
      <sz val="10"/>
      <color theme="0"/>
      <name val="Century Gothic"/>
      <family val="2"/>
      <scheme val="minor"/>
    </font>
    <font>
      <b/>
      <sz val="10"/>
      <color theme="0"/>
      <name val="Century Gothic"/>
      <family val="2"/>
    </font>
    <font>
      <i/>
      <strike/>
      <outline/>
      <shadow/>
      <sz val="10"/>
      <color theme="1"/>
      <name val="Century Gothic"/>
      <family val="2"/>
      <scheme val="minor"/>
    </font>
    <font>
      <b/>
      <sz val="14"/>
      <color theme="0"/>
      <name val="Century Gothic"/>
      <family val="2"/>
    </font>
    <font>
      <b/>
      <sz val="14"/>
      <color theme="0"/>
      <name val="Century Gothic"/>
      <family val="2"/>
      <scheme val="minor"/>
    </font>
    <font>
      <b/>
      <sz val="18"/>
      <color theme="0"/>
      <name val="Century Gothic"/>
      <family val="2"/>
    </font>
    <font>
      <sz val="14"/>
      <color theme="1"/>
      <name val="Century Gothic"/>
      <family val="2"/>
      <scheme val="minor"/>
    </font>
  </fonts>
  <fills count="13">
    <fill>
      <patternFill patternType="none"/>
    </fill>
    <fill>
      <patternFill patternType="gray125"/>
    </fill>
    <fill>
      <patternFill patternType="solid">
        <fgColor theme="4" tint="0.799981688894314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0"/>
      </patternFill>
    </fill>
    <fill>
      <patternFill patternType="lightUp">
        <fgColor theme="0" tint="-0.34998626667073579"/>
        <bgColor indexed="65"/>
      </patternFill>
    </fill>
    <fill>
      <patternFill patternType="solid">
        <fgColor theme="4"/>
        <bgColor indexed="64"/>
      </patternFill>
    </fill>
    <fill>
      <patternFill patternType="solid">
        <fgColor theme="6"/>
        <bgColor indexed="64"/>
      </patternFill>
    </fill>
    <fill>
      <patternFill patternType="solid">
        <fgColor theme="5"/>
        <bgColor indexed="64"/>
      </patternFill>
    </fill>
    <fill>
      <patternFill patternType="solid">
        <fgColor theme="8" tint="0.79998168889431442"/>
        <bgColor indexed="64"/>
      </patternFill>
    </fill>
    <fill>
      <patternFill patternType="solid">
        <fgColor theme="7"/>
        <bgColor indexed="64"/>
      </patternFill>
    </fill>
    <fill>
      <patternFill patternType="solid">
        <fgColor theme="8" tint="0.59999389629810485"/>
        <bgColor indexed="64"/>
      </patternFill>
    </fill>
  </fills>
  <borders count="16">
    <border>
      <left/>
      <right/>
      <top/>
      <bottom/>
      <diagonal/>
    </border>
    <border>
      <left style="thin">
        <color theme="3"/>
      </left>
      <right style="thin">
        <color theme="3"/>
      </right>
      <top style="thin">
        <color theme="3"/>
      </top>
      <bottom style="thin">
        <color theme="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4"/>
      </right>
      <top style="thin">
        <color theme="3"/>
      </top>
      <bottom style="thin">
        <color theme="3"/>
      </bottom>
      <diagonal/>
    </border>
    <border>
      <left/>
      <right style="thin">
        <color theme="3"/>
      </right>
      <top style="thin">
        <color theme="3"/>
      </top>
      <bottom style="thin">
        <color theme="3"/>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right/>
      <top/>
      <bottom style="medium">
        <color theme="4" tint="-0.499984740745262"/>
      </bottom>
      <diagonal/>
    </border>
    <border>
      <left style="thin">
        <color theme="3" tint="0.59996337778862885"/>
      </left>
      <right style="thin">
        <color theme="3" tint="0.59996337778862885"/>
      </right>
      <top/>
      <bottom style="thin">
        <color theme="3" tint="0.59996337778862885"/>
      </bottom>
      <diagonal/>
    </border>
    <border>
      <left/>
      <right style="thin">
        <color theme="0" tint="-0.34998626667073579"/>
      </right>
      <top/>
      <bottom style="medium">
        <color theme="4" tint="-0.499984740745262"/>
      </bottom>
      <diagonal/>
    </border>
    <border>
      <left style="thin">
        <color theme="0" tint="-0.34998626667073579"/>
      </left>
      <right style="thin">
        <color theme="0" tint="-0.34998626667073579"/>
      </right>
      <top/>
      <bottom style="medium">
        <color theme="4" tint="-0.499984740745262"/>
      </bottom>
      <diagonal/>
    </border>
    <border>
      <left style="thin">
        <color theme="3" tint="0.59996337778862885"/>
      </left>
      <right style="thin">
        <color theme="3" tint="0.59996337778862885"/>
      </right>
      <top style="thin">
        <color theme="3" tint="0.59996337778862885"/>
      </top>
      <bottom/>
      <diagonal/>
    </border>
  </borders>
  <cellStyleXfs count="13">
    <xf numFmtId="0" fontId="0" fillId="0" borderId="0"/>
    <xf numFmtId="0" fontId="17" fillId="0" borderId="0" applyNumberFormat="0" applyFill="0" applyBorder="0" applyAlignment="0" applyProtection="0"/>
    <xf numFmtId="0" fontId="7" fillId="3" borderId="2">
      <alignment vertical="center"/>
    </xf>
    <xf numFmtId="0" fontId="8" fillId="0" borderId="2">
      <alignment horizontal="left" vertical="center" wrapText="1"/>
      <protection locked="0"/>
    </xf>
    <xf numFmtId="165" fontId="8" fillId="0" borderId="2">
      <alignment horizontal="left" vertical="center" wrapText="1"/>
      <protection locked="0"/>
    </xf>
    <xf numFmtId="166" fontId="8" fillId="0" borderId="2">
      <alignment horizontal="left" vertical="center" wrapText="1"/>
      <protection locked="0"/>
    </xf>
    <xf numFmtId="0" fontId="9" fillId="4" borderId="3" applyBorder="0">
      <alignment horizontal="center" vertical="center"/>
    </xf>
    <xf numFmtId="1" fontId="9" fillId="4" borderId="2">
      <alignment horizontal="center" vertical="center"/>
    </xf>
    <xf numFmtId="0" fontId="10" fillId="5" borderId="2">
      <alignment horizontal="center" vertical="center"/>
      <protection locked="0"/>
    </xf>
    <xf numFmtId="0" fontId="10" fillId="6" borderId="2">
      <alignment horizontal="center" vertical="center"/>
    </xf>
    <xf numFmtId="0" fontId="18" fillId="0" borderId="0" applyNumberFormat="0" applyFill="0" applyBorder="0" applyAlignment="0" applyProtection="0"/>
    <xf numFmtId="0" fontId="29" fillId="0" borderId="0" applyNumberFormat="0" applyFill="0" applyBorder="0" applyAlignment="0" applyProtection="0"/>
    <xf numFmtId="0" fontId="31" fillId="0" borderId="0" applyNumberFormat="0" applyFill="0" applyBorder="0" applyAlignment="0" applyProtection="0"/>
  </cellStyleXfs>
  <cellXfs count="213">
    <xf numFmtId="0" fontId="0" fillId="0" borderId="0" xfId="0"/>
    <xf numFmtId="0" fontId="2" fillId="0" borderId="0" xfId="0" applyFont="1" applyFill="1" applyAlignment="1">
      <alignment vertical="center"/>
    </xf>
    <xf numFmtId="0" fontId="4" fillId="0" borderId="0" xfId="0" applyFont="1"/>
    <xf numFmtId="0" fontId="0" fillId="0" borderId="0" xfId="0" applyFont="1" applyFill="1" applyBorder="1" applyAlignment="1">
      <alignment horizontal="center" vertical="center"/>
    </xf>
    <xf numFmtId="0" fontId="0" fillId="0" borderId="0" xfId="0" applyFont="1" applyFill="1" applyBorder="1" applyAlignment="1">
      <alignment horizontal="left" vertical="center"/>
    </xf>
    <xf numFmtId="0" fontId="4" fillId="0" borderId="0" xfId="0" applyFont="1" applyAlignment="1">
      <alignment horizontal="center" vertical="center"/>
    </xf>
    <xf numFmtId="0" fontId="4" fillId="0" borderId="0" xfId="0" applyFont="1" applyAlignment="1">
      <alignment vertical="center"/>
    </xf>
    <xf numFmtId="164" fontId="0" fillId="0" borderId="0" xfId="0" applyNumberFormat="1" applyFont="1" applyFill="1" applyBorder="1" applyAlignment="1">
      <alignment horizontal="center" vertical="center"/>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horizontal="right" indent="2"/>
    </xf>
    <xf numFmtId="0" fontId="2" fillId="0" borderId="0" xfId="0" applyFont="1" applyAlignment="1">
      <alignment horizontal="center"/>
    </xf>
    <xf numFmtId="0" fontId="2" fillId="0" borderId="0" xfId="0" applyFont="1"/>
    <xf numFmtId="49" fontId="2" fillId="0" borderId="0" xfId="0" applyNumberFormat="1" applyFont="1"/>
    <xf numFmtId="0" fontId="0" fillId="0" borderId="0" xfId="0" applyAlignment="1">
      <alignment horizontal="left"/>
    </xf>
    <xf numFmtId="0" fontId="0" fillId="0" borderId="0" xfId="0" applyAlignment="1">
      <alignment horizontal="center" wrapText="1"/>
    </xf>
    <xf numFmtId="14" fontId="0" fillId="0" borderId="0" xfId="0" applyNumberFormat="1" applyAlignment="1">
      <alignment horizontal="center"/>
    </xf>
    <xf numFmtId="166" fontId="0" fillId="0" borderId="0" xfId="0" applyNumberFormat="1" applyAlignment="1">
      <alignment horizontal="left"/>
    </xf>
    <xf numFmtId="0" fontId="0" fillId="0" borderId="0" xfId="0" applyProtection="1"/>
    <xf numFmtId="166" fontId="0" fillId="0" borderId="0" xfId="0" applyNumberFormat="1" applyAlignment="1">
      <alignment horizontal="center"/>
    </xf>
    <xf numFmtId="164" fontId="0" fillId="0" borderId="0" xfId="0" applyNumberFormat="1" applyFont="1" applyFill="1" applyBorder="1" applyAlignment="1" applyProtection="1">
      <alignment horizontal="center" vertical="center"/>
      <protection locked="0"/>
    </xf>
    <xf numFmtId="167" fontId="0" fillId="0" borderId="0" xfId="0" applyNumberFormat="1" applyFont="1" applyFill="1" applyBorder="1" applyAlignment="1" applyProtection="1">
      <alignment horizontal="center" vertical="center"/>
      <protection locked="0"/>
    </xf>
    <xf numFmtId="0" fontId="0" fillId="0" borderId="0" xfId="0" applyFont="1" applyFill="1" applyBorder="1" applyAlignment="1" applyProtection="1">
      <alignment horizontal="center" vertical="center"/>
      <protection locked="0"/>
    </xf>
    <xf numFmtId="0" fontId="0" fillId="0" borderId="0" xfId="0" applyFont="1" applyBorder="1" applyAlignment="1">
      <alignment vertical="center"/>
    </xf>
    <xf numFmtId="0" fontId="15" fillId="0" borderId="0" xfId="0" applyFont="1" applyFill="1" applyAlignment="1">
      <alignment vertical="center"/>
    </xf>
    <xf numFmtId="0" fontId="16" fillId="0" borderId="0" xfId="0" applyFont="1" applyBorder="1" applyAlignment="1">
      <alignment vertical="center"/>
    </xf>
    <xf numFmtId="0" fontId="16" fillId="0" borderId="0" xfId="0" applyFont="1" applyBorder="1" applyAlignment="1">
      <alignment horizontal="right" vertical="center"/>
    </xf>
    <xf numFmtId="0" fontId="15" fillId="0" borderId="0" xfId="0" applyFont="1" applyFill="1" applyAlignment="1">
      <alignment horizontal="center" vertical="center"/>
    </xf>
    <xf numFmtId="0" fontId="2" fillId="7" borderId="0" xfId="0" applyFont="1" applyFill="1" applyAlignment="1">
      <alignment vertical="center"/>
    </xf>
    <xf numFmtId="0" fontId="0" fillId="7" borderId="0" xfId="0" applyFill="1" applyBorder="1" applyAlignment="1">
      <alignment vertical="center"/>
    </xf>
    <xf numFmtId="0" fontId="3" fillId="7" borderId="0" xfId="0" applyFont="1" applyFill="1" applyBorder="1" applyAlignment="1">
      <alignment vertical="center"/>
    </xf>
    <xf numFmtId="0" fontId="2" fillId="7" borderId="0" xfId="0" applyFont="1" applyFill="1" applyAlignment="1">
      <alignment horizontal="center" vertical="center"/>
    </xf>
    <xf numFmtId="0" fontId="13" fillId="7" borderId="1" xfId="0" applyFont="1" applyFill="1" applyBorder="1" applyAlignment="1">
      <alignment horizontal="center"/>
    </xf>
    <xf numFmtId="0" fontId="0" fillId="7" borderId="0" xfId="0" applyFill="1"/>
    <xf numFmtId="0" fontId="19" fillId="0" borderId="0" xfId="0" applyFont="1" applyFill="1" applyAlignment="1">
      <alignment horizontal="right" vertical="center"/>
    </xf>
    <xf numFmtId="0" fontId="0" fillId="0" borderId="0" xfId="0" applyFont="1" applyFill="1" applyBorder="1" applyAlignment="1">
      <alignment vertical="center"/>
    </xf>
    <xf numFmtId="49" fontId="0" fillId="0" borderId="0" xfId="0" applyNumberFormat="1" applyFont="1" applyFill="1" applyBorder="1" applyAlignment="1">
      <alignment horizontal="left" vertical="center"/>
    </xf>
    <xf numFmtId="0" fontId="0" fillId="0" borderId="0" xfId="0" applyFont="1" applyFill="1" applyBorder="1" applyProtection="1">
      <protection locked="0"/>
    </xf>
    <xf numFmtId="164" fontId="0" fillId="0" borderId="0" xfId="0" applyNumberFormat="1" applyFont="1" applyFill="1" applyBorder="1" applyAlignment="1">
      <alignment horizontal="center"/>
    </xf>
    <xf numFmtId="0" fontId="21" fillId="0" borderId="0" xfId="0" applyFont="1" applyFill="1" applyBorder="1" applyAlignment="1">
      <alignment horizontal="left" vertical="center"/>
    </xf>
    <xf numFmtId="0" fontId="23" fillId="11" borderId="0" xfId="0" applyFont="1" applyFill="1" applyBorder="1" applyAlignment="1">
      <alignment horizontal="center" vertical="center"/>
    </xf>
    <xf numFmtId="0" fontId="23" fillId="9" borderId="0" xfId="0" applyFont="1" applyFill="1" applyBorder="1" applyAlignment="1">
      <alignment horizontal="center" vertical="center"/>
    </xf>
    <xf numFmtId="0" fontId="23" fillId="8" borderId="0" xfId="0" applyFont="1" applyFill="1" applyBorder="1" applyAlignment="1">
      <alignment horizontal="center" vertical="center"/>
    </xf>
    <xf numFmtId="0" fontId="23" fillId="10" borderId="0" xfId="0" applyFont="1" applyFill="1" applyBorder="1" applyAlignment="1">
      <alignment horizontal="center" vertical="center"/>
    </xf>
    <xf numFmtId="0" fontId="23" fillId="12" borderId="0" xfId="0" applyFont="1" applyFill="1" applyBorder="1" applyAlignment="1">
      <alignment horizontal="center" vertical="center"/>
    </xf>
    <xf numFmtId="0" fontId="23" fillId="0" borderId="0" xfId="0" applyFont="1" applyBorder="1" applyAlignment="1">
      <alignment vertical="center"/>
    </xf>
    <xf numFmtId="0" fontId="24" fillId="7" borderId="0" xfId="0" applyFont="1" applyFill="1" applyBorder="1" applyAlignment="1">
      <alignment horizontal="right" vertical="center"/>
    </xf>
    <xf numFmtId="0" fontId="24" fillId="7" borderId="0" xfId="0" applyFont="1" applyFill="1" applyBorder="1" applyAlignment="1">
      <alignment horizontal="center" vertical="center"/>
    </xf>
    <xf numFmtId="0" fontId="23" fillId="0" borderId="0" xfId="0" applyFont="1" applyAlignment="1">
      <alignment vertical="center"/>
    </xf>
    <xf numFmtId="0" fontId="11" fillId="7" borderId="7" xfId="0" applyFont="1" applyFill="1" applyBorder="1"/>
    <xf numFmtId="0" fontId="5" fillId="7" borderId="0" xfId="0" applyFont="1" applyFill="1" applyBorder="1" applyAlignment="1" applyProtection="1">
      <alignment vertical="center"/>
    </xf>
    <xf numFmtId="0" fontId="6" fillId="7" borderId="0" xfId="0" applyFont="1" applyFill="1" applyBorder="1" applyAlignment="1" applyProtection="1">
      <alignment horizontal="right" vertical="center"/>
    </xf>
    <xf numFmtId="0" fontId="0" fillId="7" borderId="0" xfId="0" applyFill="1" applyProtection="1"/>
    <xf numFmtId="0" fontId="17" fillId="7" borderId="0" xfId="1" applyFill="1" applyBorder="1" applyAlignment="1" applyProtection="1">
      <alignment vertical="center"/>
    </xf>
    <xf numFmtId="167" fontId="8" fillId="0" borderId="0" xfId="3" applyNumberFormat="1" applyBorder="1" applyAlignment="1" applyProtection="1">
      <alignment horizontal="left" vertical="center" wrapText="1" indent="1"/>
    </xf>
    <xf numFmtId="166" fontId="8" fillId="0" borderId="0" xfId="5" applyBorder="1" applyAlignment="1" applyProtection="1">
      <alignment horizontal="left" vertical="center" wrapText="1" indent="1"/>
    </xf>
    <xf numFmtId="0" fontId="23" fillId="0" borderId="0" xfId="0" applyFont="1" applyAlignment="1">
      <alignment horizontal="left" vertical="center"/>
    </xf>
    <xf numFmtId="0" fontId="0" fillId="8" borderId="0" xfId="0" applyFont="1" applyFill="1" applyBorder="1" applyAlignment="1">
      <alignment horizontal="center"/>
    </xf>
    <xf numFmtId="0" fontId="0" fillId="9" borderId="0" xfId="0" applyFont="1" applyFill="1" applyBorder="1" applyAlignment="1">
      <alignment horizontal="center"/>
    </xf>
    <xf numFmtId="0" fontId="0" fillId="10" borderId="0" xfId="0" applyFont="1" applyFill="1" applyBorder="1" applyAlignment="1">
      <alignment horizontal="center"/>
    </xf>
    <xf numFmtId="0" fontId="26" fillId="0" borderId="0" xfId="0" applyFont="1"/>
    <xf numFmtId="0" fontId="26" fillId="11" borderId="0" xfId="0" applyFont="1" applyFill="1" applyAlignment="1">
      <alignment horizontal="center"/>
    </xf>
    <xf numFmtId="0" fontId="26" fillId="9" borderId="0" xfId="0" applyFont="1" applyFill="1" applyAlignment="1">
      <alignment horizontal="center"/>
    </xf>
    <xf numFmtId="0" fontId="26" fillId="8" borderId="0" xfId="0" applyFont="1" applyFill="1" applyAlignment="1">
      <alignment horizontal="center"/>
    </xf>
    <xf numFmtId="0" fontId="26" fillId="0" borderId="0" xfId="0" applyFont="1" applyProtection="1"/>
    <xf numFmtId="0" fontId="26" fillId="10" borderId="0" xfId="0" applyFont="1" applyFill="1" applyAlignment="1">
      <alignment horizontal="center"/>
    </xf>
    <xf numFmtId="0" fontId="26" fillId="12" borderId="0" xfId="0" applyFont="1" applyFill="1" applyAlignment="1">
      <alignment horizontal="center"/>
    </xf>
    <xf numFmtId="167" fontId="10" fillId="0" borderId="0" xfId="3" applyNumberFormat="1" applyFont="1" applyBorder="1" applyAlignment="1" applyProtection="1">
      <alignment horizontal="left"/>
    </xf>
    <xf numFmtId="167" fontId="10" fillId="0" borderId="0" xfId="3" applyNumberFormat="1" applyFont="1" applyBorder="1" applyAlignment="1" applyProtection="1">
      <alignment horizontal="left" vertical="center" wrapText="1" indent="1"/>
    </xf>
    <xf numFmtId="166" fontId="10" fillId="0" borderId="0" xfId="5" applyFont="1" applyBorder="1" applyAlignment="1" applyProtection="1">
      <alignment horizontal="left" vertical="center" wrapText="1" indent="1"/>
    </xf>
    <xf numFmtId="167" fontId="27" fillId="7" borderId="0" xfId="1" applyNumberFormat="1" applyFont="1" applyFill="1" applyBorder="1" applyAlignment="1" applyProtection="1">
      <alignment vertical="center"/>
    </xf>
    <xf numFmtId="0" fontId="28" fillId="7" borderId="0" xfId="1" applyFont="1" applyFill="1" applyBorder="1" applyAlignment="1" applyProtection="1">
      <alignment horizontal="left" vertical="center" indent="1"/>
    </xf>
    <xf numFmtId="0" fontId="1" fillId="7" borderId="0" xfId="0" applyFont="1" applyFill="1"/>
    <xf numFmtId="0" fontId="0" fillId="0" borderId="0" xfId="0" applyAlignment="1">
      <alignment horizontal="center" vertical="center" wrapText="1"/>
    </xf>
    <xf numFmtId="0" fontId="0" fillId="0" borderId="0" xfId="0" applyAlignment="1">
      <alignment horizontal="left" vertical="center" wrapText="1"/>
    </xf>
    <xf numFmtId="0" fontId="17" fillId="7" borderId="0" xfId="1" applyFill="1" applyAlignment="1">
      <alignment horizontal="left" vertical="center" indent="1"/>
    </xf>
    <xf numFmtId="0" fontId="29" fillId="0" borderId="0" xfId="11"/>
    <xf numFmtId="0" fontId="0" fillId="0" borderId="0" xfId="0" applyAlignment="1">
      <alignment wrapText="1"/>
    </xf>
    <xf numFmtId="0" fontId="0" fillId="0" borderId="0" xfId="0" applyAlignment="1">
      <alignment vertical="center"/>
    </xf>
    <xf numFmtId="0" fontId="0" fillId="0" borderId="0" xfId="0" applyAlignment="1">
      <alignment vertical="top"/>
    </xf>
    <xf numFmtId="0" fontId="0" fillId="0" borderId="0" xfId="0" applyAlignment="1">
      <alignment vertical="top" wrapText="1"/>
    </xf>
    <xf numFmtId="49" fontId="0" fillId="11" borderId="0" xfId="0" applyNumberFormat="1" applyFont="1" applyFill="1" applyBorder="1" applyAlignment="1">
      <alignment horizontal="center"/>
    </xf>
    <xf numFmtId="0" fontId="0" fillId="0" borderId="0" xfId="0" quotePrefix="1" applyAlignment="1">
      <alignment vertical="top"/>
    </xf>
    <xf numFmtId="0" fontId="0" fillId="0" borderId="0" xfId="0" applyFill="1"/>
    <xf numFmtId="0" fontId="0" fillId="0" borderId="0" xfId="0" applyAlignment="1">
      <alignment vertical="center" wrapText="1"/>
    </xf>
    <xf numFmtId="0" fontId="29" fillId="0" borderId="0" xfId="11" applyAlignment="1">
      <alignment vertical="top"/>
    </xf>
    <xf numFmtId="0" fontId="17" fillId="7" borderId="0" xfId="1" applyFont="1" applyFill="1" applyAlignment="1">
      <alignment horizontal="left" vertical="center" indent="1"/>
    </xf>
    <xf numFmtId="0" fontId="0" fillId="0" borderId="0" xfId="0" applyAlignment="1">
      <alignment wrapText="1"/>
    </xf>
    <xf numFmtId="168" fontId="34" fillId="2" borderId="9" xfId="2" applyNumberFormat="1" applyFont="1" applyFill="1" applyBorder="1" applyAlignment="1" applyProtection="1">
      <alignment vertical="center"/>
    </xf>
    <xf numFmtId="168" fontId="34" fillId="2" borderId="10" xfId="2" applyNumberFormat="1" applyFont="1" applyFill="1" applyBorder="1" applyAlignment="1" applyProtection="1">
      <alignment vertical="center"/>
    </xf>
    <xf numFmtId="0" fontId="35" fillId="0" borderId="8" xfId="3" applyFont="1" applyBorder="1" applyAlignment="1" applyProtection="1">
      <alignment horizontal="center" vertical="center" wrapText="1"/>
      <protection locked="0"/>
    </xf>
    <xf numFmtId="0" fontId="37" fillId="2" borderId="12" xfId="0" applyFont="1" applyFill="1" applyBorder="1" applyAlignment="1" applyProtection="1">
      <alignment horizontal="center" vertical="center"/>
    </xf>
    <xf numFmtId="164" fontId="39" fillId="0" borderId="8" xfId="8" applyNumberFormat="1" applyFont="1" applyFill="1" applyBorder="1" applyProtection="1">
      <alignment horizontal="center" vertical="center"/>
    </xf>
    <xf numFmtId="164" fontId="37" fillId="2" borderId="8" xfId="0" applyNumberFormat="1" applyFont="1" applyFill="1" applyBorder="1" applyAlignment="1" applyProtection="1">
      <alignment horizontal="center" vertical="center"/>
    </xf>
    <xf numFmtId="0" fontId="40" fillId="0" borderId="0" xfId="0" applyFont="1" applyProtection="1"/>
    <xf numFmtId="0" fontId="35" fillId="0" borderId="0" xfId="0" applyFont="1" applyFill="1" applyBorder="1" applyProtection="1"/>
    <xf numFmtId="164" fontId="38" fillId="0" borderId="8" xfId="7" applyNumberFormat="1" applyFont="1" applyFill="1" applyBorder="1" applyProtection="1">
      <alignment horizontal="center" vertical="center"/>
    </xf>
    <xf numFmtId="0" fontId="34" fillId="2" borderId="8" xfId="2" applyNumberFormat="1" applyFont="1" applyFill="1" applyBorder="1" applyAlignment="1" applyProtection="1">
      <alignment vertical="center"/>
    </xf>
    <xf numFmtId="0" fontId="42" fillId="11" borderId="13" xfId="0" applyFont="1" applyFill="1" applyBorder="1" applyAlignment="1" applyProtection="1">
      <alignment horizontal="center" vertical="center"/>
    </xf>
    <xf numFmtId="0" fontId="42" fillId="9" borderId="14" xfId="0" applyFont="1" applyFill="1" applyBorder="1" applyAlignment="1" applyProtection="1">
      <alignment horizontal="center" vertical="center"/>
    </xf>
    <xf numFmtId="0" fontId="42" fillId="8" borderId="14" xfId="0" applyFont="1" applyFill="1" applyBorder="1" applyAlignment="1" applyProtection="1">
      <alignment horizontal="center" vertical="center"/>
    </xf>
    <xf numFmtId="0" fontId="42" fillId="10" borderId="14" xfId="0" applyFont="1" applyFill="1" applyBorder="1" applyAlignment="1" applyProtection="1">
      <alignment horizontal="center" vertical="center"/>
    </xf>
    <xf numFmtId="0" fontId="17" fillId="7" borderId="0" xfId="1" applyNumberFormat="1" applyFill="1" applyBorder="1" applyAlignment="1">
      <alignment vertical="center"/>
    </xf>
    <xf numFmtId="169" fontId="22" fillId="7" borderId="4" xfId="0" applyNumberFormat="1" applyFont="1" applyFill="1" applyBorder="1" applyAlignment="1">
      <alignment horizontal="left" vertical="center"/>
    </xf>
    <xf numFmtId="0" fontId="43" fillId="0" borderId="0" xfId="0" applyFont="1" applyFill="1" applyBorder="1" applyAlignment="1">
      <alignment horizontal="center" vertical="center"/>
    </xf>
    <xf numFmtId="0" fontId="43" fillId="0" borderId="0" xfId="0" applyFont="1" applyFill="1" applyBorder="1" applyAlignment="1">
      <alignment horizontal="left" vertical="center"/>
    </xf>
    <xf numFmtId="0" fontId="43" fillId="0" borderId="0" xfId="0" applyNumberFormat="1" applyFont="1" applyFill="1" applyBorder="1" applyAlignment="1">
      <alignment horizontal="center" vertical="center"/>
    </xf>
    <xf numFmtId="164" fontId="43" fillId="0" borderId="0" xfId="0" applyNumberFormat="1" applyFont="1" applyFill="1" applyBorder="1" applyAlignment="1">
      <alignment horizontal="center" vertical="center"/>
    </xf>
    <xf numFmtId="0" fontId="0" fillId="0" borderId="0" xfId="0" applyAlignment="1">
      <alignment wrapText="1"/>
    </xf>
    <xf numFmtId="0" fontId="0" fillId="0" borderId="0" xfId="0" applyAlignment="1">
      <alignment wrapText="1"/>
    </xf>
    <xf numFmtId="14" fontId="45" fillId="7" borderId="1" xfId="0" applyNumberFormat="1" applyFont="1" applyFill="1" applyBorder="1" applyAlignment="1">
      <alignment horizontal="center" wrapText="1"/>
    </xf>
    <xf numFmtId="14" fontId="45" fillId="7" borderId="1" xfId="0" applyNumberFormat="1" applyFont="1" applyFill="1" applyBorder="1" applyAlignment="1">
      <alignment horizontal="center"/>
    </xf>
    <xf numFmtId="0" fontId="45" fillId="7" borderId="1" xfId="0" applyFont="1" applyFill="1" applyBorder="1" applyAlignment="1">
      <alignment horizontal="center"/>
    </xf>
    <xf numFmtId="14" fontId="0" fillId="0" borderId="0" xfId="0" applyNumberFormat="1"/>
    <xf numFmtId="0" fontId="0" fillId="0" borderId="0" xfId="0" applyNumberFormat="1" applyAlignment="1">
      <alignment horizontal="left"/>
    </xf>
    <xf numFmtId="0" fontId="31" fillId="0" borderId="0" xfId="12" applyAlignment="1">
      <alignment horizontal="left"/>
    </xf>
    <xf numFmtId="167" fontId="46" fillId="0" borderId="0" xfId="0" applyNumberFormat="1" applyFont="1" applyFill="1" applyAlignment="1" applyProtection="1">
      <alignment horizontal="center" vertical="center"/>
      <protection locked="0"/>
    </xf>
    <xf numFmtId="167" fontId="46" fillId="0" borderId="0" xfId="0"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164" fontId="46" fillId="0" borderId="0" xfId="0" applyNumberFormat="1" applyFont="1" applyFill="1" applyBorder="1" applyAlignment="1" applyProtection="1">
      <alignment horizontal="center" vertical="center"/>
      <protection locked="0"/>
    </xf>
    <xf numFmtId="164" fontId="2" fillId="0" borderId="0" xfId="0" applyNumberFormat="1" applyFont="1" applyAlignment="1">
      <alignment horizontal="center"/>
    </xf>
    <xf numFmtId="0" fontId="46" fillId="0" borderId="0" xfId="0" applyNumberFormat="1" applyFont="1" applyFill="1" applyAlignment="1" applyProtection="1">
      <alignment horizontal="center" vertical="center"/>
      <protection locked="0"/>
    </xf>
    <xf numFmtId="167" fontId="47"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2" fillId="0" borderId="0" xfId="0" applyNumberFormat="1" applyFont="1" applyAlignment="1">
      <alignment horizontal="left"/>
    </xf>
    <xf numFmtId="0" fontId="2" fillId="0" borderId="0" xfId="0" applyNumberFormat="1" applyFont="1"/>
    <xf numFmtId="0" fontId="48" fillId="0" borderId="0" xfId="0" applyFont="1" applyFill="1" applyAlignment="1">
      <alignment horizontal="right" vertical="center"/>
    </xf>
    <xf numFmtId="14" fontId="46" fillId="0" borderId="0" xfId="0" applyNumberFormat="1" applyFont="1" applyFill="1" applyAlignment="1" applyProtection="1">
      <alignment horizontal="center" vertical="center"/>
      <protection locked="0"/>
    </xf>
    <xf numFmtId="14" fontId="49" fillId="0" borderId="0" xfId="0" applyNumberFormat="1" applyFont="1" applyFill="1" applyAlignment="1" applyProtection="1">
      <alignment horizontal="center" vertical="center"/>
      <protection locked="0"/>
    </xf>
    <xf numFmtId="0" fontId="0" fillId="0" borderId="0" xfId="0" applyNumberFormat="1"/>
    <xf numFmtId="0" fontId="46" fillId="0" borderId="0" xfId="0" applyFont="1" applyFill="1" applyBorder="1" applyAlignment="1" applyProtection="1">
      <alignment horizontal="center" vertical="center"/>
      <protection locked="0"/>
    </xf>
    <xf numFmtId="164" fontId="0" fillId="8" borderId="0" xfId="0" applyNumberFormat="1" applyFont="1" applyFill="1" applyBorder="1" applyAlignment="1">
      <alignment horizontal="center"/>
    </xf>
    <xf numFmtId="164" fontId="0" fillId="9" borderId="0" xfId="0" applyNumberFormat="1" applyFont="1" applyFill="1" applyBorder="1" applyAlignment="1">
      <alignment horizontal="center"/>
    </xf>
    <xf numFmtId="164" fontId="0" fillId="10" borderId="0" xfId="0" applyNumberFormat="1" applyFont="1" applyFill="1" applyBorder="1" applyAlignment="1">
      <alignment horizontal="center"/>
    </xf>
    <xf numFmtId="0" fontId="50" fillId="0" borderId="0" xfId="0" applyFont="1"/>
    <xf numFmtId="0" fontId="50" fillId="0" borderId="0" xfId="0" applyFont="1" applyAlignment="1">
      <alignment horizontal="left"/>
    </xf>
    <xf numFmtId="14" fontId="50" fillId="0" borderId="0" xfId="0" applyNumberFormat="1" applyFont="1" applyAlignment="1">
      <alignment horizontal="center"/>
    </xf>
    <xf numFmtId="0" fontId="51" fillId="0" borderId="0" xfId="0" applyNumberFormat="1" applyFont="1"/>
    <xf numFmtId="49" fontId="52" fillId="0" borderId="0" xfId="0" applyNumberFormat="1" applyFont="1" applyAlignment="1">
      <alignment horizontal="left"/>
    </xf>
    <xf numFmtId="14" fontId="53" fillId="0" borderId="0" xfId="0" applyNumberFormat="1" applyFont="1" applyFill="1" applyAlignment="1" applyProtection="1">
      <alignment horizontal="center"/>
      <protection locked="0"/>
    </xf>
    <xf numFmtId="167" fontId="47" fillId="0" borderId="0" xfId="0" applyNumberFormat="1" applyFont="1" applyFill="1" applyAlignment="1" applyProtection="1">
      <alignment horizontal="left"/>
      <protection locked="0"/>
    </xf>
    <xf numFmtId="166" fontId="47" fillId="0" borderId="0" xfId="0" applyNumberFormat="1" applyFont="1" applyFill="1" applyAlignment="1" applyProtection="1">
      <alignment horizontal="center"/>
      <protection locked="0"/>
    </xf>
    <xf numFmtId="164" fontId="50" fillId="0" borderId="0" xfId="0" applyNumberFormat="1" applyFont="1" applyFill="1" applyBorder="1" applyAlignment="1">
      <alignment horizontal="left" vertical="center"/>
    </xf>
    <xf numFmtId="0" fontId="51" fillId="0" borderId="0" xfId="0" applyNumberFormat="1" applyFont="1" applyAlignment="1">
      <alignment horizontal="left"/>
    </xf>
    <xf numFmtId="14" fontId="50" fillId="0" borderId="0" xfId="0" applyNumberFormat="1" applyFont="1"/>
    <xf numFmtId="14" fontId="50" fillId="0" borderId="0" xfId="0" applyNumberFormat="1" applyFont="1" applyFill="1" applyBorder="1" applyAlignment="1">
      <alignment horizontal="left" vertical="center"/>
    </xf>
    <xf numFmtId="0" fontId="51" fillId="0" borderId="0" xfId="0" applyFont="1" applyAlignment="1">
      <alignment horizontal="left"/>
    </xf>
    <xf numFmtId="14" fontId="51" fillId="0" borderId="0" xfId="0" applyNumberFormat="1" applyFont="1"/>
    <xf numFmtId="0" fontId="50" fillId="0" borderId="0" xfId="0" applyNumberFormat="1" applyFont="1" applyAlignment="1">
      <alignment horizontal="left"/>
    </xf>
    <xf numFmtId="0" fontId="50" fillId="0" borderId="0" xfId="0" applyNumberFormat="1" applyFont="1"/>
    <xf numFmtId="0" fontId="2" fillId="7" borderId="0" xfId="0" applyFont="1" applyFill="1" applyAlignment="1">
      <alignment horizontal="left" vertical="center"/>
    </xf>
    <xf numFmtId="0" fontId="19" fillId="0" borderId="0" xfId="0" applyFont="1" applyFill="1" applyAlignment="1">
      <alignment horizontal="left" vertical="center"/>
    </xf>
    <xf numFmtId="0" fontId="11" fillId="7" borderId="7" xfId="0" applyFont="1" applyFill="1" applyBorder="1" applyAlignment="1">
      <alignment horizontal="left"/>
    </xf>
    <xf numFmtId="14" fontId="50" fillId="0" borderId="0" xfId="0" applyNumberFormat="1" applyFont="1" applyAlignment="1">
      <alignment horizontal="left"/>
    </xf>
    <xf numFmtId="14" fontId="52" fillId="0" borderId="0" xfId="0" applyNumberFormat="1" applyFont="1" applyAlignment="1">
      <alignment horizontal="left"/>
    </xf>
    <xf numFmtId="49" fontId="2" fillId="0" borderId="0" xfId="0" applyNumberFormat="1" applyFont="1" applyAlignment="1">
      <alignment horizontal="left"/>
    </xf>
    <xf numFmtId="0" fontId="21" fillId="0" borderId="0" xfId="0" applyFont="1" applyFill="1" applyBorder="1" applyAlignment="1">
      <alignment horizontal="left" vertical="center" wrapText="1"/>
    </xf>
    <xf numFmtId="14" fontId="0" fillId="0" borderId="0" xfId="0" applyNumberFormat="1" applyAlignment="1">
      <alignment wrapText="1"/>
    </xf>
    <xf numFmtId="14" fontId="23" fillId="0" borderId="0" xfId="0" applyNumberFormat="1" applyFont="1" applyAlignment="1">
      <alignment wrapText="1"/>
    </xf>
    <xf numFmtId="14" fontId="0" fillId="0" borderId="0" xfId="0" applyNumberFormat="1" applyAlignment="1">
      <alignment vertical="top" wrapText="1"/>
    </xf>
    <xf numFmtId="166" fontId="50" fillId="0" borderId="0" xfId="0" applyNumberFormat="1" applyFont="1" applyAlignment="1">
      <alignment horizontal="left"/>
    </xf>
    <xf numFmtId="0" fontId="54" fillId="0" borderId="0" xfId="0" applyFont="1" applyFill="1" applyBorder="1" applyAlignment="1">
      <alignment horizontal="center" vertical="center"/>
    </xf>
    <xf numFmtId="0" fontId="54" fillId="0" borderId="0" xfId="0" applyFont="1" applyFill="1" applyBorder="1" applyAlignment="1">
      <alignment horizontal="left" vertical="center"/>
    </xf>
    <xf numFmtId="164" fontId="54" fillId="0" borderId="0" xfId="0" applyNumberFormat="1" applyFont="1" applyFill="1" applyBorder="1" applyAlignment="1">
      <alignment horizontal="center" vertical="center"/>
    </xf>
    <xf numFmtId="0" fontId="54" fillId="0" borderId="0" xfId="0" applyNumberFormat="1" applyFont="1" applyFill="1" applyBorder="1" applyAlignment="1">
      <alignment horizontal="center" vertical="center"/>
    </xf>
    <xf numFmtId="0" fontId="55" fillId="0" borderId="0" xfId="0" applyNumberFormat="1" applyFont="1" applyFill="1" applyAlignment="1" applyProtection="1">
      <alignment horizontal="center" vertical="center"/>
      <protection locked="0"/>
    </xf>
    <xf numFmtId="167" fontId="55"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66" fontId="50" fillId="0" borderId="0" xfId="0" applyNumberFormat="1" applyFont="1" applyAlignment="1">
      <alignment horizontal="center"/>
    </xf>
    <xf numFmtId="14" fontId="0" fillId="0" borderId="0" xfId="0" applyNumberFormat="1" applyFont="1" applyAlignment="1">
      <alignment horizontal="center"/>
    </xf>
    <xf numFmtId="0" fontId="57" fillId="7" borderId="0" xfId="0" applyFont="1" applyFill="1" applyAlignment="1">
      <alignment vertical="center"/>
    </xf>
    <xf numFmtId="0" fontId="56" fillId="7" borderId="0" xfId="0" applyFont="1" applyFill="1" applyBorder="1" applyAlignment="1">
      <alignment vertical="center"/>
    </xf>
    <xf numFmtId="0" fontId="56" fillId="7" borderId="0" xfId="0" applyFont="1" applyFill="1" applyBorder="1" applyAlignment="1">
      <alignment horizontal="center" vertical="center"/>
    </xf>
    <xf numFmtId="0" fontId="57" fillId="7" borderId="0" xfId="0" applyFont="1" applyFill="1" applyAlignment="1">
      <alignment horizontal="left" vertical="center"/>
    </xf>
    <xf numFmtId="167" fontId="58" fillId="0" borderId="0" xfId="0" applyNumberFormat="1" applyFont="1" applyFill="1" applyAlignment="1" applyProtection="1">
      <alignment horizontal="center" vertical="center"/>
      <protection locked="0"/>
    </xf>
    <xf numFmtId="167" fontId="58" fillId="0" borderId="0" xfId="0" applyNumberFormat="1" applyFont="1" applyFill="1" applyBorder="1" applyAlignment="1" applyProtection="1">
      <alignment horizontal="center" vertical="center"/>
      <protection locked="0"/>
    </xf>
    <xf numFmtId="170" fontId="22" fillId="7" borderId="4" xfId="0" applyNumberFormat="1" applyFont="1" applyFill="1" applyBorder="1" applyAlignment="1">
      <alignment horizontal="left" vertical="center"/>
    </xf>
    <xf numFmtId="0" fontId="59" fillId="7" borderId="0" xfId="0" applyFont="1" applyFill="1" applyAlignment="1">
      <alignment vertical="center"/>
    </xf>
    <xf numFmtId="0" fontId="60" fillId="7" borderId="0" xfId="0" applyFont="1" applyFill="1" applyBorder="1" applyAlignment="1">
      <alignment vertical="center"/>
    </xf>
    <xf numFmtId="0" fontId="61" fillId="7" borderId="0" xfId="0" applyFont="1" applyFill="1" applyAlignment="1">
      <alignment vertical="center"/>
    </xf>
    <xf numFmtId="0" fontId="24" fillId="7" borderId="0" xfId="0" applyFont="1" applyFill="1" applyBorder="1" applyAlignment="1">
      <alignment vertical="center"/>
    </xf>
    <xf numFmtId="0" fontId="62" fillId="7" borderId="0" xfId="0" applyFont="1" applyFill="1" applyBorder="1" applyAlignment="1">
      <alignment vertical="center"/>
    </xf>
    <xf numFmtId="0" fontId="60" fillId="7" borderId="0" xfId="0" applyFont="1" applyFill="1" applyBorder="1" applyAlignment="1">
      <alignment horizontal="left" vertical="center"/>
    </xf>
    <xf numFmtId="0" fontId="60" fillId="7" borderId="0" xfId="0" applyFont="1" applyFill="1" applyBorder="1" applyAlignment="1">
      <alignment horizontal="center" vertical="center"/>
    </xf>
    <xf numFmtId="166" fontId="0" fillId="0" borderId="0" xfId="0" applyNumberFormat="1" applyFont="1" applyAlignment="1">
      <alignment horizontal="center"/>
    </xf>
    <xf numFmtId="0" fontId="0" fillId="0" borderId="0" xfId="0" applyAlignment="1">
      <alignment wrapText="1"/>
    </xf>
    <xf numFmtId="0" fontId="0" fillId="0" borderId="0" xfId="0" applyAlignment="1">
      <alignment vertical="center" wrapText="1"/>
    </xf>
    <xf numFmtId="0" fontId="0" fillId="0" borderId="0" xfId="0" applyAlignment="1">
      <alignment vertical="top" wrapText="1"/>
    </xf>
    <xf numFmtId="0" fontId="0" fillId="0" borderId="0" xfId="0" applyAlignment="1">
      <alignment wrapText="1"/>
    </xf>
    <xf numFmtId="0" fontId="31" fillId="0" borderId="0" xfId="12" quotePrefix="1" applyAlignment="1">
      <alignment vertical="top" wrapText="1"/>
    </xf>
    <xf numFmtId="0" fontId="14" fillId="7" borderId="4" xfId="0" applyFont="1" applyFill="1" applyBorder="1" applyAlignment="1">
      <alignment horizontal="center"/>
    </xf>
    <xf numFmtId="0" fontId="14" fillId="7" borderId="5" xfId="0" applyFont="1" applyFill="1" applyBorder="1" applyAlignment="1">
      <alignment horizontal="center"/>
    </xf>
    <xf numFmtId="0" fontId="14" fillId="7" borderId="6" xfId="0" applyFont="1" applyFill="1" applyBorder="1" applyAlignment="1">
      <alignment horizontal="center"/>
    </xf>
    <xf numFmtId="164" fontId="38" fillId="0" borderId="15" xfId="7" applyNumberFormat="1" applyFont="1" applyFill="1" applyBorder="1" applyProtection="1">
      <alignment horizontal="center" vertical="center"/>
    </xf>
    <xf numFmtId="164" fontId="38" fillId="0" borderId="12" xfId="7" applyNumberFormat="1" applyFont="1" applyFill="1" applyBorder="1" applyProtection="1">
      <alignment horizontal="center" vertical="center"/>
    </xf>
    <xf numFmtId="0" fontId="41" fillId="0" borderId="0" xfId="0" applyFont="1" applyFill="1" applyBorder="1" applyAlignment="1" applyProtection="1">
      <alignment horizontal="right" vertical="center"/>
    </xf>
    <xf numFmtId="0" fontId="36" fillId="2" borderId="8" xfId="6" applyFont="1" applyFill="1" applyBorder="1" applyProtection="1">
      <alignment horizontal="center" vertical="center"/>
    </xf>
    <xf numFmtId="164" fontId="38" fillId="0" borderId="8" xfId="7" applyNumberFormat="1" applyFont="1" applyFill="1" applyBorder="1" applyProtection="1">
      <alignment horizontal="center" vertical="center"/>
    </xf>
    <xf numFmtId="0" fontId="36" fillId="2" borderId="15" xfId="6" applyFont="1" applyFill="1" applyBorder="1" applyProtection="1">
      <alignment horizontal="center" vertical="center"/>
    </xf>
    <xf numFmtId="0" fontId="36" fillId="2" borderId="12" xfId="6" applyFont="1" applyFill="1" applyBorder="1" applyProtection="1">
      <alignment horizontal="center" vertical="center"/>
    </xf>
    <xf numFmtId="0" fontId="12" fillId="7" borderId="0" xfId="0" applyFont="1" applyFill="1" applyBorder="1" applyAlignment="1" applyProtection="1">
      <alignment horizontal="center" vertical="center"/>
    </xf>
    <xf numFmtId="0" fontId="35" fillId="0" borderId="8" xfId="3" applyFont="1" applyBorder="1" applyAlignment="1" applyProtection="1">
      <alignment horizontal="left" vertical="center" wrapText="1" indent="1"/>
      <protection locked="0"/>
    </xf>
    <xf numFmtId="167" fontId="35" fillId="0" borderId="8" xfId="3" applyNumberFormat="1" applyFont="1" applyBorder="1" applyAlignment="1" applyProtection="1">
      <alignment horizontal="left" vertical="center" wrapText="1" indent="1"/>
    </xf>
    <xf numFmtId="168" fontId="34" fillId="2" borderId="8" xfId="2" applyNumberFormat="1" applyFont="1" applyFill="1" applyBorder="1" applyAlignment="1" applyProtection="1">
      <alignment vertical="center"/>
    </xf>
    <xf numFmtId="0" fontId="25" fillId="7" borderId="0" xfId="0" applyFont="1" applyFill="1" applyBorder="1" applyAlignment="1" applyProtection="1">
      <alignment horizontal="center" vertical="center"/>
    </xf>
    <xf numFmtId="0" fontId="25" fillId="7" borderId="11" xfId="0" applyFont="1" applyFill="1" applyBorder="1" applyAlignment="1" applyProtection="1">
      <alignment horizontal="center" vertical="center"/>
    </xf>
    <xf numFmtId="0" fontId="34" fillId="2" borderId="8" xfId="2" applyNumberFormat="1" applyFont="1" applyFill="1" applyBorder="1" applyProtection="1">
      <alignment vertical="center"/>
    </xf>
    <xf numFmtId="0" fontId="35" fillId="0" borderId="8" xfId="3" applyFont="1" applyBorder="1" applyAlignment="1" applyProtection="1">
      <alignment horizontal="center" vertical="center" wrapText="1"/>
      <protection locked="0"/>
    </xf>
    <xf numFmtId="168" fontId="34" fillId="2" borderId="8" xfId="2" applyNumberFormat="1" applyFont="1" applyFill="1" applyBorder="1" applyProtection="1">
      <alignment vertical="center"/>
    </xf>
    <xf numFmtId="166" fontId="35" fillId="0" borderId="8" xfId="5" applyFont="1" applyBorder="1" applyAlignment="1" applyProtection="1">
      <alignment horizontal="left" vertical="center" wrapText="1" indent="1"/>
    </xf>
    <xf numFmtId="167" fontId="35" fillId="0" borderId="8" xfId="3" applyNumberFormat="1" applyFont="1" applyBorder="1" applyAlignment="1" applyProtection="1">
      <alignment horizontal="center" vertical="center" wrapText="1"/>
    </xf>
    <xf numFmtId="14" fontId="35" fillId="0" borderId="8" xfId="4" applyNumberFormat="1" applyFont="1" applyBorder="1" applyAlignment="1" applyProtection="1">
      <alignment horizontal="center" vertical="center" wrapText="1"/>
    </xf>
    <xf numFmtId="14" fontId="0" fillId="0" borderId="0" xfId="0" applyNumberFormat="1" applyFont="1"/>
  </cellXfs>
  <cellStyles count="13">
    <cellStyle name="Attendance Totals" xfId="7"/>
    <cellStyle name="Birthdate" xfId="4"/>
    <cellStyle name="Lien hypertexte" xfId="12" builtinId="8"/>
    <cellStyle name="Month" xfId="6"/>
    <cellStyle name="Normal" xfId="0" builtinId="0" customBuiltin="1"/>
    <cellStyle name="Phone Number" xfId="5"/>
    <cellStyle name="Student Information" xfId="2"/>
    <cellStyle name="Student Information - user entered" xfId="3"/>
    <cellStyle name="Titre" xfId="1" builtinId="15" customBuiltin="1"/>
    <cellStyle name="Titre 1" xfId="10" builtinId="16" customBuiltin="1"/>
    <cellStyle name="Titre 2" xfId="11" builtinId="17" customBuiltin="1"/>
    <cellStyle name="Weekday" xfId="8"/>
    <cellStyle name="Weekend" xfId="9"/>
  </cellStyles>
  <dxfs count="965">
    <dxf>
      <font>
        <b val="0"/>
        <i val="0"/>
        <strike val="0"/>
        <condense/>
        <extend/>
        <outline/>
        <shadow/>
        <u val="none"/>
        <vertAlign val="baseline"/>
        <sz val="10"/>
        <color theme="1"/>
        <name val="Century Gothic"/>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ont>
        <color theme="4" tint="0.79998168889431442"/>
      </font>
    </dxf>
    <dxf>
      <fill>
        <patternFill>
          <bgColor theme="8" tint="0.59996337778862885"/>
        </patternFill>
      </fill>
    </dxf>
    <dxf>
      <fill>
        <patternFill>
          <bgColor theme="8" tint="0.79998168889431442"/>
        </patternFill>
      </fill>
    </dxf>
    <dxf>
      <fill>
        <patternFill>
          <bgColor theme="6"/>
        </patternFill>
      </fill>
    </dxf>
    <dxf>
      <fill>
        <patternFill>
          <bgColor theme="5"/>
        </patternFill>
      </fill>
    </dxf>
    <dxf>
      <fill>
        <patternFill>
          <bgColor theme="7"/>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ont>
        <b val="0"/>
        <i val="0"/>
        <strike val="0"/>
        <condense/>
        <extend/>
        <outline/>
        <shadow/>
        <u val="none"/>
        <vertAlign val="baseline"/>
        <sz val="10"/>
        <color theme="1"/>
        <name val="Century Gothic"/>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ill>
        <patternFill>
          <bgColor theme="7"/>
        </patternFill>
      </fill>
    </dxf>
    <dxf>
      <fill>
        <patternFill>
          <bgColor theme="6"/>
        </patternFill>
      </fill>
    </dxf>
    <dxf>
      <fill>
        <patternFill>
          <bgColor theme="8" tint="0.79998168889431442"/>
        </patternFill>
      </fill>
    </dxf>
    <dxf>
      <fill>
        <patternFill>
          <bgColor theme="8" tint="0.59996337778862885"/>
        </patternFill>
      </fill>
    </dxf>
    <dxf>
      <fill>
        <patternFill>
          <bgColor theme="5"/>
        </patternFill>
      </fill>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u val="none"/>
        <vertAlign val="baseline"/>
        <sz val="10"/>
        <name val="Century Gothic"/>
      </font>
    </dxf>
    <dxf>
      <font>
        <b val="0"/>
        <i val="0"/>
        <strike val="0"/>
        <condense/>
        <extend/>
        <outline/>
        <shadow/>
        <u val="none"/>
        <vertAlign val="baseline"/>
        <sz val="10"/>
        <color theme="1"/>
        <name val="Century Gothic"/>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6" formatCode="[&lt;=9999999]###\-####;\(###\)\ ###\-####"/>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left" vertical="bottom"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left" vertical="bottom"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2"/>
        <color theme="1"/>
        <name val="Century Gothic"/>
        <scheme val="minor"/>
      </font>
      <numFmt numFmtId="19" formatCode="yyyy/mm/dd"/>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extend/>
        <outline/>
        <shadow/>
        <u val="none"/>
        <vertAlign val="baseline"/>
        <sz val="10"/>
        <color theme="1"/>
        <name val="Century Gothic"/>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theme="1"/>
        <name val="Century Gothic"/>
        <scheme val="minor"/>
      </font>
      <numFmt numFmtId="19" formatCode="yyyy/mm/dd"/>
      <alignment horizontal="left" vertical="bottom" textRotation="0" wrapText="0" indent="0" justifyLastLine="0" shrinkToFit="0" readingOrder="0"/>
    </dxf>
    <dxf>
      <font>
        <b val="0"/>
        <i val="0"/>
        <strike val="0"/>
        <condense/>
        <extend/>
        <outline/>
        <shadow/>
        <u val="none"/>
        <vertAlign val="baseline"/>
        <sz val="10"/>
        <color theme="1"/>
        <name val="Century Gothic"/>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theme="1"/>
        <name val="Century Gothic"/>
        <scheme val="minor"/>
      </font>
      <alignment horizontal="left" vertical="bottom" textRotation="0" wrapText="0" indent="0" justifyLastLine="0" shrinkToFit="0" readingOrder="0"/>
    </dxf>
    <dxf>
      <font>
        <b val="0"/>
        <i val="0"/>
        <strike val="0"/>
        <condense/>
        <extend/>
        <outline/>
        <shadow/>
        <u val="none"/>
        <vertAlign val="baseline"/>
        <sz val="10"/>
        <color theme="1"/>
        <name val="Century Gothic"/>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font>
        <sz val="12"/>
      </font>
      <numFmt numFmtId="0" formatCode="General"/>
    </dxf>
    <dxf>
      <font>
        <b val="0"/>
        <i val="0"/>
        <strike val="0"/>
        <condense/>
        <extend/>
        <outline/>
        <shadow/>
        <u val="none"/>
        <vertAlign val="baseline"/>
        <sz val="10"/>
        <color theme="1"/>
        <name val="Century Gothic"/>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0" formatCode="General"/>
      <alignment horizontal="left" vertical="bottom" textRotation="0" wrapText="0" indent="0" justifyLastLine="0" shrinkToFit="0" readingOrder="0"/>
    </dxf>
    <dxf>
      <font>
        <b val="0"/>
        <i val="0"/>
        <strike val="0"/>
        <u val="none"/>
        <vertAlign val="baseline"/>
        <sz val="10"/>
        <name val="Century Gothic"/>
      </font>
    </dxf>
    <dxf>
      <font>
        <b val="0"/>
        <i val="0"/>
        <strike val="0"/>
        <condense/>
        <extend/>
        <outline/>
        <shadow/>
        <u val="none"/>
        <vertAlign val="baseline"/>
        <sz val="10"/>
        <color theme="1"/>
        <name val="Century Gothic"/>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0" formatCode="General"/>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numFmt numFmtId="0" formatCode="General"/>
    </dxf>
    <dxf>
      <font>
        <b val="0"/>
        <i val="0"/>
        <strike val="0"/>
        <condense/>
        <extend/>
        <outline/>
        <shadow/>
        <u val="none"/>
        <vertAlign val="baseline"/>
        <sz val="10"/>
        <color theme="1"/>
        <name val="Century Gothic"/>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0" formatCode="General"/>
      <alignment horizontal="left" vertical="bottom" textRotation="0" wrapText="0" indent="0" justifyLastLine="0" shrinkToFit="0" readingOrder="0"/>
    </dxf>
    <dxf>
      <font>
        <b val="0"/>
        <i val="0"/>
        <strike val="0"/>
        <u val="none"/>
        <vertAlign val="baseline"/>
        <sz val="10"/>
        <name val="Century Gothic"/>
      </font>
    </dxf>
    <dxf>
      <numFmt numFmtId="164" formatCode="0;0;"/>
      <alignment horizontal="center" textRotation="0" wrapText="0" indent="0" justifyLastLine="0" shrinkToFit="0" readingOrder="0"/>
    </dxf>
    <dxf>
      <numFmt numFmtId="164" formatCode="0;0;"/>
      <alignment horizontal="center" textRotation="0" wrapText="0" indent="0" justifyLastLine="0" shrinkToFit="0" readingOrder="0"/>
    </dxf>
    <dxf>
      <numFmt numFmtId="164" formatCode="0;0;"/>
      <alignment horizontal="center" textRotation="0" wrapText="0" indent="0" justifyLastLine="0" shrinkToFit="0" readingOrder="0"/>
    </dxf>
    <dxf>
      <alignment horizontal="center" textRotation="0" wrapText="0" indent="0" justifyLastLine="0" shrinkToFit="0" readingOrder="0"/>
    </dxf>
    <dxf>
      <font>
        <b/>
        <i/>
        <strike/>
        <condense/>
        <extend/>
        <outline/>
        <shadow/>
        <u val="none"/>
        <vertAlign val="baseline"/>
        <sz val="10"/>
        <color theme="1"/>
        <name val="Century Gothic"/>
        <scheme val="minor"/>
      </font>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0" formatCode="General"/>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2"/>
        <name val="Century Gothic"/>
      </font>
      <numFmt numFmtId="0" formatCode="General"/>
    </dxf>
    <dxf>
      <font>
        <strike val="0"/>
        <outline val="0"/>
        <shadow val="0"/>
        <u val="none"/>
        <vertAlign val="baseline"/>
        <sz val="12"/>
        <name val="Century Gothic"/>
      </font>
      <numFmt numFmtId="0" formatCode="General"/>
      <alignment horizontal="left" vertical="bottom" textRotation="0" wrapText="0" indent="0" justifyLastLine="0" shrinkToFit="0" readingOrder="0"/>
    </dxf>
    <dxf>
      <font>
        <b val="0"/>
        <i val="0"/>
        <strike val="0"/>
        <u val="none"/>
        <vertAlign val="baseline"/>
        <sz val="10"/>
        <name val="Century Gothic"/>
      </font>
    </dxf>
    <dxf>
      <font>
        <b val="0"/>
        <i val="0"/>
        <strike val="0"/>
        <condense/>
        <extend/>
        <outline/>
        <shadow/>
        <u val="none"/>
        <vertAlign val="baseline"/>
        <sz val="10"/>
        <color theme="1"/>
        <name val="Century Gothic"/>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9" formatCode="yyyy/mm/dd"/>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numFmt numFmtId="0" formatCode="General"/>
    </dxf>
    <dxf>
      <font>
        <b val="0"/>
        <i val="0"/>
        <strike val="0"/>
        <condense/>
        <extend/>
        <outline/>
        <shadow/>
        <u val="none"/>
        <vertAlign val="baseline"/>
        <sz val="10"/>
        <color theme="1"/>
        <name val="Century Gothic"/>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0" formatCode="General"/>
      <alignment horizontal="left" vertical="bottom" textRotation="0" wrapText="0" indent="0" justifyLastLine="0" shrinkToFit="0" readingOrder="0"/>
    </dxf>
    <dxf>
      <font>
        <b val="0"/>
        <i val="0"/>
        <strike val="0"/>
        <u val="none"/>
        <vertAlign val="baseline"/>
        <sz val="10"/>
        <name val="Century Gothic"/>
      </font>
    </dxf>
    <dxf>
      <font>
        <b val="0"/>
        <i val="0"/>
        <strike val="0"/>
        <condense/>
        <extend/>
        <outline/>
        <shadow/>
        <u val="none"/>
        <vertAlign val="baseline"/>
        <sz val="10"/>
        <color theme="1"/>
        <name val="Century Gothic"/>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9" formatCode="yyyy/mm/dd"/>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numFmt numFmtId="0" formatCode="General"/>
    </dxf>
    <dxf>
      <font>
        <b val="0"/>
        <i val="0"/>
        <strike val="0"/>
        <condense/>
        <extend/>
        <outline/>
        <shadow/>
        <u val="none"/>
        <vertAlign val="baseline"/>
        <sz val="10"/>
        <color theme="1"/>
        <name val="Century Gothic"/>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0" formatCode="General"/>
      <alignment horizontal="left" vertical="bottom" textRotation="0" wrapText="0" indent="0" justifyLastLine="0" shrinkToFit="0" readingOrder="0"/>
    </dxf>
    <dxf>
      <font>
        <b val="0"/>
        <i val="0"/>
        <strike val="0"/>
        <u val="none"/>
        <vertAlign val="baseline"/>
        <sz val="10"/>
        <name val="Century Gothic"/>
      </font>
    </dxf>
    <dxf>
      <font>
        <b val="0"/>
        <i val="0"/>
        <strike val="0"/>
        <condense/>
        <extend/>
        <outline/>
        <shadow/>
        <u val="none"/>
        <vertAlign val="baseline"/>
        <sz val="10"/>
        <color theme="1"/>
        <name val="Century Gothic"/>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9" formatCode="yyyy/mm/dd"/>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numFmt numFmtId="0" formatCode="General"/>
    </dxf>
    <dxf>
      <font>
        <b val="0"/>
        <i val="0"/>
        <strike val="0"/>
        <condense/>
        <extend/>
        <outline/>
        <shadow/>
        <u val="none"/>
        <vertAlign val="baseline"/>
        <sz val="10"/>
        <color theme="1"/>
        <name val="Century Gothic"/>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0" formatCode="General"/>
      <alignment horizontal="left" vertical="bottom" textRotation="0" wrapText="0" indent="0" justifyLastLine="0" shrinkToFit="0" readingOrder="0"/>
    </dxf>
    <dxf>
      <font>
        <b val="0"/>
        <i val="0"/>
        <strike val="0"/>
        <u val="none"/>
        <vertAlign val="baseline"/>
        <sz val="10"/>
        <name val="Century Gothic"/>
      </font>
    </dxf>
    <dxf>
      <numFmt numFmtId="164" formatCode="0;0;"/>
      <alignment horizontal="center" textRotation="0" wrapText="0" indent="0" justifyLastLine="0" shrinkToFit="0" readingOrder="0"/>
    </dxf>
    <dxf>
      <numFmt numFmtId="164" formatCode="0;0;"/>
      <alignment horizontal="center" textRotation="0" wrapText="0" indent="0" justifyLastLine="0" shrinkToFit="0" readingOrder="0"/>
    </dxf>
    <dxf>
      <numFmt numFmtId="164" formatCode="0;0;"/>
      <alignment horizontal="center" textRotation="0" wrapText="0" indent="0" justifyLastLine="0" shrinkToFit="0" readingOrder="0"/>
    </dxf>
    <dxf>
      <alignment horizontal="center" textRotation="0" wrapText="0" indent="0" justifyLastLine="0" shrinkToFit="0" readingOrder="0"/>
    </dxf>
    <dxf>
      <font>
        <b/>
        <i/>
        <strike/>
        <condense/>
        <extend/>
        <outline/>
        <shadow/>
        <u val="none"/>
        <vertAlign val="baseline"/>
        <sz val="10"/>
        <color theme="1"/>
        <name val="Century Gothic"/>
        <scheme val="minor"/>
      </font>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i/>
        <strike/>
        <condense/>
        <extend/>
        <outline/>
        <shadow/>
        <u val="none"/>
        <vertAlign val="baseline"/>
        <sz val="10"/>
        <color theme="1"/>
        <name val="Century Gothic"/>
        <scheme val="minor"/>
      </font>
      <numFmt numFmtId="19" formatCode="yyyy/mm/dd"/>
      <fill>
        <patternFill patternType="none">
          <fgColor indexed="64"/>
          <bgColor indexed="65"/>
        </patternFill>
      </fill>
      <alignment horizontal="center" vertical="center" textRotation="0" wrapText="0" indent="0" justifyLastLine="0" shrinkToFit="0" readingOrder="0"/>
      <protection locked="0" hidden="0"/>
    </dxf>
    <dxf>
      <numFmt numFmtId="0" formatCode="General"/>
    </dxf>
    <dxf>
      <numFmt numFmtId="0" formatCode="General"/>
      <alignment horizontal="left" vertical="bottom" textRotation="0" wrapText="0" indent="0" justifyLastLine="0" shrinkToFit="0" readingOrder="0"/>
    </dxf>
    <dxf>
      <font>
        <b val="0"/>
        <i val="0"/>
        <strike val="0"/>
        <u val="none"/>
        <vertAlign val="baseline"/>
        <sz val="10"/>
        <name val="Century Gothic"/>
      </font>
    </dxf>
    <dxf>
      <font>
        <b val="0"/>
        <i val="0"/>
        <strike val="0"/>
        <condense/>
        <extend/>
        <outline/>
        <shadow/>
        <u val="none"/>
        <vertAlign val="baseline"/>
        <sz val="10"/>
        <color theme="1"/>
        <name val="Century Gothic"/>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0" formatCode="General"/>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numFmt numFmtId="0" formatCode="General"/>
    </dxf>
    <dxf>
      <font>
        <b val="0"/>
        <i val="0"/>
        <strike val="0"/>
        <condense/>
        <extend/>
        <outline/>
        <shadow/>
        <u val="none"/>
        <vertAlign val="baseline"/>
        <sz val="10"/>
        <color theme="1"/>
        <name val="Century Gothic"/>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0" formatCode="General"/>
      <alignment horizontal="left" vertical="bottom" textRotation="0" wrapText="0" indent="0" justifyLastLine="0" shrinkToFit="0" readingOrder="0"/>
    </dxf>
    <dxf>
      <font>
        <b val="0"/>
        <i val="0"/>
        <strike val="0"/>
        <u val="none"/>
        <vertAlign val="baseline"/>
        <sz val="10"/>
        <name val="Century Gothic"/>
      </font>
    </dxf>
    <dxf>
      <font>
        <b val="0"/>
        <i val="0"/>
        <strike val="0"/>
        <condense/>
        <extend/>
        <outline/>
        <shadow/>
        <u val="none"/>
        <vertAlign val="baseline"/>
        <sz val="10"/>
        <color theme="1"/>
        <name val="Century Gothic"/>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0" formatCode="General"/>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font>
        <strike val="0"/>
        <outline val="0"/>
        <shadow val="0"/>
        <u val="none"/>
        <vertAlign val="baseline"/>
        <sz val="12"/>
        <name val="Century Gothic"/>
      </font>
      <numFmt numFmtId="0" formatCode="General"/>
    </dxf>
    <dxf>
      <font>
        <b val="0"/>
        <i val="0"/>
        <strike val="0"/>
        <condense/>
        <extend/>
        <outline/>
        <shadow/>
        <u val="none"/>
        <vertAlign val="baseline"/>
        <sz val="10"/>
        <color theme="1"/>
        <name val="Century Gothic"/>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sz val="12"/>
        <name val="Century Gothic"/>
      </font>
      <numFmt numFmtId="0" formatCode="General"/>
      <alignment horizontal="left" vertical="bottom" textRotation="0" wrapText="0" indent="0" justifyLastLine="0" shrinkToFit="0" readingOrder="0"/>
    </dxf>
    <dxf>
      <font>
        <b val="0"/>
        <i val="0"/>
        <strike val="0"/>
        <u val="none"/>
        <vertAlign val="baseline"/>
        <sz val="10"/>
        <name val="Century Gothic"/>
      </font>
    </dxf>
    <dxf>
      <font>
        <b val="0"/>
        <i val="0"/>
        <strike val="0"/>
        <condense/>
        <extend/>
        <outline/>
        <shadow/>
        <u val="none"/>
        <vertAlign val="baseline"/>
        <sz val="10"/>
        <color theme="1"/>
        <name val="Century Gothic"/>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164" formatCode="0;0;"/>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alignment horizontal="center" textRotation="0" wrapText="0" indent="0" justifyLastLine="0" shrinkToFit="0" readingOrder="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167" formatCode="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i/>
        <strike/>
        <condense/>
        <extend/>
        <outline/>
        <shadow/>
        <u val="none"/>
        <vertAlign val="baseline"/>
        <sz val="10"/>
        <color theme="1"/>
        <name val="Century Gothic"/>
        <scheme val="minor"/>
      </font>
      <numFmt numFmtId="0" formatCode="General"/>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extend/>
        <outline/>
        <shadow/>
        <u val="none"/>
        <vertAlign val="baseline"/>
        <sz val="10"/>
        <color theme="1"/>
        <name val="Century Gothic"/>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numFmt numFmtId="0" formatCode="General"/>
    </dxf>
    <dxf>
      <font>
        <b val="0"/>
        <i val="0"/>
        <strike val="0"/>
        <condense/>
        <extend/>
        <outline/>
        <shadow/>
        <u val="none"/>
        <vertAlign val="baseline"/>
        <sz val="10"/>
        <color theme="1"/>
        <name val="Century Gothic"/>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0" formatCode="General"/>
      <alignment horizontal="left" vertical="bottom" textRotation="0" wrapText="0" indent="0" justifyLastLine="0" shrinkToFit="0" readingOrder="0"/>
    </dxf>
    <dxf>
      <font>
        <b val="0"/>
        <i val="0"/>
        <strike val="0"/>
        <u val="none"/>
        <vertAlign val="baseline"/>
        <sz val="10"/>
        <name val="Century Gothic"/>
      </font>
    </dxf>
    <dxf>
      <numFmt numFmtId="166" formatCode="[&lt;=9999999]###\-####;\(###\)\ ###\-####"/>
      <alignment horizontal="left" vertical="bottom" textRotation="0" wrapText="0" indent="0" justifyLastLine="0" shrinkToFit="0" readingOrder="0"/>
    </dxf>
    <dxf>
      <numFmt numFmtId="166" formatCode="[&lt;=9999999]###\-####;\(###\)\ ###\-####"/>
      <alignment horizontal="left" vertical="bottom" textRotation="0" wrapText="0" indent="0" justifyLastLine="0" shrinkToFit="0" readingOrder="0"/>
    </dxf>
    <dxf>
      <numFmt numFmtId="166" formatCode="[&lt;=9999999]###\-####;\(###\)\ ###\-####"/>
      <alignment horizontal="center" vertical="bottom" textRotation="0" wrapText="0" indent="0" justifyLastLine="0" shrinkToFit="0" readingOrder="0"/>
    </dxf>
    <dxf>
      <numFmt numFmtId="166" formatCode="[&lt;=9999999]###\-####;\(###\)\ ###\-####"/>
      <alignment horizontal="center"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9" formatCode="yyyy/mm/dd"/>
      <alignment horizontal="center" vertical="bottom" textRotation="0" wrapText="0" indent="0" justifyLastLine="0" shrinkToFit="0" readingOrder="0"/>
    </dxf>
    <dxf>
      <numFmt numFmtId="19" formatCode="yyyy/mm/dd"/>
      <alignment horizontal="center" vertical="bottom" textRotation="0" wrapText="0" indent="0" justifyLastLine="0" shrinkToFit="0" readingOrder="0"/>
    </dxf>
    <dxf>
      <alignment horizontal="left" vertical="bottom" textRotation="0" wrapText="0" indent="0" justifyLastLine="0" shrinkToFit="0" readingOrder="0"/>
    </dxf>
    <dxf>
      <numFmt numFmtId="166" formatCode="[&lt;=9999999]###\-####;\(###\)\ ###\-####"/>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center" textRotation="0" wrapText="1" indent="0" justifyLastLine="0" shrinkToFit="0" readingOrder="0"/>
    </dxf>
    <dxf>
      <fill>
        <patternFill>
          <bgColor theme="4" tint="0.79998168889431442"/>
        </patternFill>
      </fill>
    </dxf>
    <dxf>
      <fill>
        <patternFill patternType="none">
          <fgColor indexed="64"/>
          <bgColor auto="1"/>
        </patternFill>
      </fill>
    </dxf>
    <dxf>
      <font>
        <b/>
        <i/>
      </font>
      <border>
        <top style="double">
          <color theme="1"/>
        </top>
      </border>
    </dxf>
    <dxf>
      <font>
        <b/>
        <i val="0"/>
        <color theme="0"/>
      </font>
      <fill>
        <patternFill>
          <bgColor theme="4"/>
        </patternFill>
      </fill>
      <border>
        <left style="thin">
          <color theme="3"/>
        </left>
        <right style="thin">
          <color theme="3"/>
        </right>
        <top style="thin">
          <color theme="4" tint="-0.499984740745262"/>
        </top>
        <bottom style="medium">
          <color theme="4" tint="-0.499984740745262"/>
        </bottom>
        <vertical style="thin">
          <color theme="3"/>
        </vertical>
        <horizontal style="thin">
          <color theme="3"/>
        </horizontal>
      </border>
    </dxf>
    <dxf>
      <font>
        <color theme="3" tint="-0.24994659260841701"/>
      </font>
      <border>
        <left style="thin">
          <color theme="3" tint="0.59996337778862885"/>
        </left>
        <right style="thin">
          <color theme="3" tint="0.59996337778862885"/>
        </right>
        <top style="thin">
          <color theme="3" tint="0.59996337778862885"/>
        </top>
        <bottom style="thin">
          <color theme="3" tint="0.59996337778862885"/>
        </bottom>
        <vertical style="thin">
          <color theme="3" tint="0.59996337778862885"/>
        </vertical>
        <horizontal style="thin">
          <color theme="3" tint="0.59996337778862885"/>
        </horizontal>
      </border>
    </dxf>
    <dxf>
      <fill>
        <patternFill>
          <bgColor theme="4" tint="0.79998168889431442"/>
        </patternFill>
      </fill>
    </dxf>
    <dxf>
      <fill>
        <patternFill patternType="none">
          <fgColor indexed="64"/>
          <bgColor auto="1"/>
        </patternFill>
      </fill>
    </dxf>
    <dxf>
      <font>
        <b val="0"/>
        <i val="0"/>
        <strike val="0"/>
      </font>
      <border>
        <top style="double">
          <color theme="1"/>
        </top>
      </border>
    </dxf>
    <dxf>
      <font>
        <color theme="1"/>
      </font>
      <fill>
        <patternFill>
          <bgColor theme="4" tint="0.79998168889431442"/>
        </patternFill>
      </fill>
      <border>
        <left style="thin">
          <color theme="3"/>
        </left>
        <right style="thin">
          <color theme="3"/>
        </right>
        <top style="medium">
          <color theme="3"/>
        </top>
        <bottom style="thin">
          <color theme="3"/>
        </bottom>
        <vertical style="thin">
          <color theme="3"/>
        </vertical>
        <horizontal style="thin">
          <color theme="3"/>
        </horizontal>
      </border>
    </dxf>
    <dxf>
      <font>
        <color theme="1"/>
      </font>
      <border>
        <left style="thin">
          <color theme="3" tint="0.59996337778862885"/>
        </left>
        <right style="thin">
          <color theme="3" tint="0.59996337778862885"/>
        </right>
        <top style="thin">
          <color theme="3" tint="0.59996337778862885"/>
        </top>
        <bottom style="thin">
          <color theme="3" tint="0.59996337778862885"/>
        </bottom>
        <vertical style="thin">
          <color theme="3" tint="0.59996337778862885"/>
        </vertical>
        <horizontal style="thin">
          <color theme="3" tint="0.59996337778862885"/>
        </horizontal>
      </border>
    </dxf>
  </dxfs>
  <tableStyles count="2" defaultTableStyle="TableStyleMedium2" defaultPivotStyle="PivotStyleLight16">
    <tableStyle name="Employee Absence Table" pivot="0" count="5">
      <tableStyleElement type="wholeTable" dxfId="964"/>
      <tableStyleElement type="headerRow" dxfId="963"/>
      <tableStyleElement type="totalRow" dxfId="962"/>
      <tableStyleElement type="firstRowStripe" dxfId="961"/>
      <tableStyleElement type="secondRowStripe" dxfId="960"/>
    </tableStyle>
    <tableStyle name="Student List" pivot="0" count="5">
      <tableStyleElement type="wholeTable" dxfId="959"/>
      <tableStyleElement type="headerRow" dxfId="958"/>
      <tableStyleElement type="totalRow" dxfId="957"/>
      <tableStyleElement type="firstRowStripe" dxfId="956"/>
      <tableStyleElement type="secondRowStripe" dxfId="955"/>
    </tableStyle>
  </tableStyles>
  <colors>
    <mruColors>
      <color rgb="FFF0D2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Spin" dx="16" fmlaLink="AnnéeCivile" max="3000" min="2010" page="10" val="2012"/>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76201</xdr:colOff>
      <xdr:row>15</xdr:row>
      <xdr:rowOff>25146</xdr:rowOff>
    </xdr:from>
    <xdr:to>
      <xdr:col>27</xdr:col>
      <xdr:colOff>65172</xdr:colOff>
      <xdr:row>42</xdr:row>
      <xdr:rowOff>66675</xdr:rowOff>
    </xdr:to>
    <xdr:pic>
      <xdr:nvPicPr>
        <xdr:cNvPr id="2" name="Imag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3924301" y="3501771"/>
          <a:ext cx="7656596" cy="56993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39</xdr:col>
          <xdr:colOff>38100</xdr:colOff>
          <xdr:row>0</xdr:row>
          <xdr:rowOff>104775</xdr:rowOff>
        </xdr:from>
        <xdr:to>
          <xdr:col>39</xdr:col>
          <xdr:colOff>209550</xdr:colOff>
          <xdr:row>0</xdr:row>
          <xdr:rowOff>419100</xdr:rowOff>
        </xdr:to>
        <xdr:sp macro="" textlink="">
          <xdr:nvSpPr>
            <xdr:cNvPr id="2049" name="Tourbillon 1" descr="Calendar Year Spinner. Click the spinner to change the school calendar year or type the year in cell AM." hidden="1">
              <a:extLst>
                <a:ext uri="{63B3BB69-23CF-44E3-9099-C40C66FF867C}">
                  <a14:compatExt spid="_x0000_s2049"/>
                </a:ext>
                <a:ext uri="{FF2B5EF4-FFF2-40B4-BE49-F238E27FC236}">
                  <a16:creationId xmlns:a16="http://schemas.microsoft.com/office/drawing/2014/main" xmlns="" id="{00000000-0008-0000-0D00-00000108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18</xdr:row>
      <xdr:rowOff>110077</xdr:rowOff>
    </xdr:from>
    <xdr:to>
      <xdr:col>28</xdr:col>
      <xdr:colOff>28575</xdr:colOff>
      <xdr:row>48</xdr:row>
      <xdr:rowOff>126740</xdr:rowOff>
    </xdr:to>
    <xdr:pic>
      <xdr:nvPicPr>
        <xdr:cNvPr id="2" name="Image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3467100" y="4358227"/>
          <a:ext cx="8467725" cy="63031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27</xdr:col>
      <xdr:colOff>266700</xdr:colOff>
      <xdr:row>48</xdr:row>
      <xdr:rowOff>128085</xdr:rowOff>
    </xdr:to>
    <xdr:pic>
      <xdr:nvPicPr>
        <xdr:cNvPr id="2" name="Image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00425" y="4257675"/>
          <a:ext cx="8620125" cy="64145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304801</xdr:colOff>
      <xdr:row>19</xdr:row>
      <xdr:rowOff>31657</xdr:rowOff>
    </xdr:from>
    <xdr:to>
      <xdr:col>28</xdr:col>
      <xdr:colOff>1</xdr:colOff>
      <xdr:row>49</xdr:row>
      <xdr:rowOff>69590</xdr:rowOff>
    </xdr:to>
    <xdr:pic>
      <xdr:nvPicPr>
        <xdr:cNvPr id="2" name="Image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stretch>
          <a:fillRect/>
        </a:stretch>
      </xdr:blipFill>
      <xdr:spPr>
        <a:xfrm>
          <a:off x="3371851" y="4422682"/>
          <a:ext cx="8496300" cy="63244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22</xdr:row>
      <xdr:rowOff>0</xdr:rowOff>
    </xdr:from>
    <xdr:to>
      <xdr:col>30</xdr:col>
      <xdr:colOff>315170</xdr:colOff>
      <xdr:row>56</xdr:row>
      <xdr:rowOff>136265</xdr:rowOff>
    </xdr:to>
    <xdr:pic>
      <xdr:nvPicPr>
        <xdr:cNvPr id="2" name="Image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a:stretch>
          <a:fillRect/>
        </a:stretch>
      </xdr:blipFill>
      <xdr:spPr>
        <a:xfrm>
          <a:off x="3686175" y="4838700"/>
          <a:ext cx="9754445" cy="72609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57150</xdr:colOff>
      <xdr:row>21</xdr:row>
      <xdr:rowOff>142875</xdr:rowOff>
    </xdr:from>
    <xdr:to>
      <xdr:col>29</xdr:col>
      <xdr:colOff>172711</xdr:colOff>
      <xdr:row>50</xdr:row>
      <xdr:rowOff>107690</xdr:rowOff>
    </xdr:to>
    <xdr:pic>
      <xdr:nvPicPr>
        <xdr:cNvPr id="2" name="Image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stretch>
          <a:fillRect/>
        </a:stretch>
      </xdr:blipFill>
      <xdr:spPr>
        <a:xfrm>
          <a:off x="4019550" y="4886325"/>
          <a:ext cx="8116561" cy="60417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314326</xdr:colOff>
      <xdr:row>18</xdr:row>
      <xdr:rowOff>0</xdr:rowOff>
    </xdr:from>
    <xdr:to>
      <xdr:col>30</xdr:col>
      <xdr:colOff>233109</xdr:colOff>
      <xdr:row>51</xdr:row>
      <xdr:rowOff>79115</xdr:rowOff>
    </xdr:to>
    <xdr:pic>
      <xdr:nvPicPr>
        <xdr:cNvPr id="2" name="Image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stretch>
          <a:fillRect/>
        </a:stretch>
      </xdr:blipFill>
      <xdr:spPr>
        <a:xfrm>
          <a:off x="3314701" y="4105275"/>
          <a:ext cx="9396158" cy="69942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600076</xdr:colOff>
      <xdr:row>24</xdr:row>
      <xdr:rowOff>193031</xdr:rowOff>
    </xdr:from>
    <xdr:to>
      <xdr:col>26</xdr:col>
      <xdr:colOff>247650</xdr:colOff>
      <xdr:row>52</xdr:row>
      <xdr:rowOff>203383</xdr:rowOff>
    </xdr:to>
    <xdr:pic>
      <xdr:nvPicPr>
        <xdr:cNvPr id="2" name="Image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a:stretch>
          <a:fillRect/>
        </a:stretch>
      </xdr:blipFill>
      <xdr:spPr>
        <a:xfrm>
          <a:off x="3705226" y="5431781"/>
          <a:ext cx="7896224" cy="58777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723900</xdr:colOff>
      <xdr:row>18</xdr:row>
      <xdr:rowOff>201100</xdr:rowOff>
    </xdr:from>
    <xdr:to>
      <xdr:col>29</xdr:col>
      <xdr:colOff>180975</xdr:colOff>
      <xdr:row>49</xdr:row>
      <xdr:rowOff>79115</xdr:rowOff>
    </xdr:to>
    <xdr:pic>
      <xdr:nvPicPr>
        <xdr:cNvPr id="2" name="Image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3848100" y="4373050"/>
          <a:ext cx="8562975" cy="6374065"/>
        </a:xfrm>
        <a:prstGeom prst="rect">
          <a:avLst/>
        </a:prstGeom>
      </xdr:spPr>
    </xdr:pic>
    <xdr:clientData/>
  </xdr:twoCellAnchor>
</xdr:wsDr>
</file>

<file path=xl/tables/table1.xml><?xml version="1.0" encoding="utf-8"?>
<table xmlns="http://schemas.openxmlformats.org/spreadsheetml/2006/main" id="1" name="ListeÉtudiants" displayName="ListeÉtudiants" ref="B3:L82" totalsRowShown="0" headerRowDxfId="954">
  <autoFilter ref="B3:L82"/>
  <sortState ref="B4:L79">
    <sortCondition ref="B4:B79"/>
    <sortCondition ref="E4:E79"/>
    <sortCondition ref="D4:D79"/>
  </sortState>
  <tableColumns count="11">
    <tableColumn id="1" name="Grupo" dataDxfId="953"/>
    <tableColumn id="15" name="Nom complet de _x000a_l’élève" dataDxfId="952"/>
    <tableColumn id="3" name="Nombre" dataDxfId="951"/>
    <tableColumn id="5" name="Apellido" dataDxfId="950"/>
    <tableColumn id="6" name="Date de naissance" dataDxfId="949"/>
    <tableColumn id="7" name="correo electrónico" dataDxfId="948"/>
    <tableColumn id="10" name="Persona responsable 1" dataDxfId="947"/>
    <tableColumn id="9" name="Persona responsable 2" dataDxfId="946"/>
    <tableColumn id="8" name="Telefono principal" dataDxfId="945"/>
    <tableColumn id="18" name="Telefono 2" dataDxfId="944"/>
    <tableColumn id="14" name="correo electronico de responsable 2" dataDxfId="943"/>
  </tableColumns>
  <tableStyleInfo name="Student List" showFirstColumn="0" showLastColumn="0" showRowStripes="1" showColumnStripes="0"/>
  <extLst>
    <ext xmlns:x14="http://schemas.microsoft.com/office/spreadsheetml/2009/9/main" uri="{504A1905-F514-4f6f-8877-14C23A59335A}">
      <x14:table altText="Liste des élèves" altTextSummary="Fournit les noms des élèves, les informations de contact relatives aux parents/responsables, ainsi que les informations de contact d’urgence pour chaque élève."/>
    </ext>
  </extLst>
</table>
</file>

<file path=xl/tables/table10.xml><?xml version="1.0" encoding="utf-8"?>
<table xmlns="http://schemas.openxmlformats.org/spreadsheetml/2006/main" id="22" name="ParticipationSeptembre16212223" displayName="ParticipationSeptembre16212223" ref="B6:AM18" totalsRowCount="1" totalsRowDxfId="426">
  <tableColumns count="38">
    <tableColumn id="38" name="Nombre" dataDxfId="425" totalsRowDxfId="424"/>
    <tableColumn id="1" name="Apellido" totalsRowLabel="Jours d’absence (total)" dataDxfId="423" totalsRowDxfId="422"/>
    <tableColumn id="2" name="fecha de nacimiento" totalsRowFunction="custom" dataDxfId="421" totalsRowDxfId="420">
      <totalsRowFormula>COUNTIF(ParticipationSeptembre16212223[fecha de nacimiento],"N1")+COUNTIF(ParticipationSeptembre16212223[fecha de nacimiento],"E")</totalsRowFormula>
    </tableColumn>
    <tableColumn id="3" name="29" totalsRowFunction="custom" dataDxfId="419" totalsRowDxfId="418">
      <totalsRowFormula>COUNTIF(ParticipationSeptembre16212223[29],"N1")+COUNTIF(ParticipationSeptembre16212223[29],"E")</totalsRowFormula>
    </tableColumn>
    <tableColumn id="4" name="6" totalsRowFunction="custom" dataDxfId="417" totalsRowDxfId="416">
      <totalsRowFormula>COUNTIF(ParticipationSeptembre16212223[6],"N1")+COUNTIF(ParticipationSeptembre16212223[6],"E")</totalsRowFormula>
    </tableColumn>
    <tableColumn id="5" name="13" totalsRowFunction="custom" dataDxfId="415" totalsRowDxfId="414">
      <totalsRowFormula>COUNTIF(ParticipationSeptembre16212223[13],"N1")+COUNTIF(ParticipationSeptembre16212223[13],"E")</totalsRowFormula>
    </tableColumn>
    <tableColumn id="6" name="20" totalsRowFunction="custom" dataDxfId="413" totalsRowDxfId="412">
      <totalsRowFormula>COUNTIF(ParticipationSeptembre16212223[20],"N1")+COUNTIF(ParticipationSeptembre16212223[20],"E")</totalsRowFormula>
    </tableColumn>
    <tableColumn id="7" name="27" totalsRowFunction="custom" dataDxfId="411" totalsRowDxfId="410">
      <totalsRowFormula>COUNTIF(ParticipationSeptembre16212223[27],"N1")+COUNTIF(ParticipationSeptembre16212223[27],"E")</totalsRowFormula>
    </tableColumn>
    <tableColumn id="8" name="3" totalsRowFunction="custom" dataDxfId="409" totalsRowDxfId="408">
      <totalsRowFormula>COUNTIF(ParticipationSeptembre16212223[3],"N1")+COUNTIF(ParticipationSeptembre16212223[3],"E")</totalsRowFormula>
    </tableColumn>
    <tableColumn id="9" name="10" totalsRowFunction="custom" dataDxfId="407" totalsRowDxfId="406">
      <totalsRowFormula>COUNTIF(ParticipationSeptembre16212223[10],"N1")+COUNTIF(ParticipationSeptembre16212223[10],"E")</totalsRowFormula>
    </tableColumn>
    <tableColumn id="10" name="17" totalsRowFunction="custom" dataDxfId="405" totalsRowDxfId="404">
      <totalsRowFormula>COUNTIF(ParticipationSeptembre16212223[17],"N1")+COUNTIF(ParticipationSeptembre16212223[17],"E")</totalsRowFormula>
    </tableColumn>
    <tableColumn id="11" name="24" totalsRowFunction="custom" dataDxfId="403" totalsRowDxfId="402">
      <totalsRowFormula>COUNTIF(ParticipationSeptembre16212223[24],"N1")+COUNTIF(ParticipationSeptembre16212223[24],"E")</totalsRowFormula>
    </tableColumn>
    <tableColumn id="12" name="14" totalsRowFunction="custom" dataDxfId="401" totalsRowDxfId="400">
      <totalsRowFormula>COUNTIF(ParticipationSeptembre16212223[14],"N1")+COUNTIF(ParticipationSeptembre16212223[14],"E")</totalsRowFormula>
    </tableColumn>
    <tableColumn id="13" name="8" totalsRowFunction="custom" dataDxfId="399" totalsRowDxfId="398">
      <totalsRowFormula>COUNTIF(ParticipationSeptembre16212223[8],"N1")+COUNTIF(ParticipationSeptembre16212223[8],"E")</totalsRowFormula>
    </tableColumn>
    <tableColumn id="14" name="15" totalsRowFunction="custom" dataDxfId="397" totalsRowDxfId="396">
      <totalsRowFormula>COUNTIF(ParticipationSeptembre16212223[15],"N1")+COUNTIF(ParticipationSeptembre16212223[15],"E")</totalsRowFormula>
    </tableColumn>
    <tableColumn id="15" name="12" totalsRowFunction="custom" dataDxfId="395" totalsRowDxfId="394">
      <totalsRowFormula>COUNTIF(ParticipationSeptembre16212223[12],"N1")+COUNTIF(ParticipationSeptembre16212223[12],"E")</totalsRowFormula>
    </tableColumn>
    <tableColumn id="16" name="19" totalsRowFunction="custom" dataDxfId="393" totalsRowDxfId="392">
      <totalsRowFormula>COUNTIF(ParticipationSeptembre16212223[19],"N1")+COUNTIF(ParticipationSeptembre16212223[19],"E")</totalsRowFormula>
    </tableColumn>
    <tableColumn id="17" name="26" totalsRowFunction="custom" dataDxfId="391" totalsRowDxfId="390">
      <totalsRowFormula>COUNTIF(ParticipationSeptembre16212223[26],"N1")+COUNTIF(ParticipationSeptembre16212223[26],"E")</totalsRowFormula>
    </tableColumn>
    <tableColumn id="18" name="2" totalsRowFunction="custom" dataDxfId="389" totalsRowDxfId="388">
      <totalsRowFormula>COUNTIF(ParticipationSeptembre16212223[2],"N1")+COUNTIF(ParticipationSeptembre16212223[2],"E")</totalsRowFormula>
    </tableColumn>
    <tableColumn id="19" name="9" totalsRowFunction="custom" dataDxfId="387" totalsRowDxfId="386">
      <totalsRowFormula>COUNTIF(ParticipationSeptembre16212223[9],"N1")+COUNTIF(ParticipationSeptembre16212223[9],"E")</totalsRowFormula>
    </tableColumn>
    <tableColumn id="20" name="16" totalsRowFunction="custom" dataDxfId="385" totalsRowDxfId="384">
      <totalsRowFormula>COUNTIF(ParticipationSeptembre16212223[16],"N1")+COUNTIF(ParticipationSeptembre16212223[16],"E")</totalsRowFormula>
    </tableColumn>
    <tableColumn id="21" name="23" totalsRowFunction="custom" dataDxfId="383" totalsRowDxfId="382">
      <totalsRowFormula>COUNTIF(ParticipationSeptembre16212223[23],"N1")+COUNTIF(ParticipationSeptembre16212223[23],"E")</totalsRowFormula>
    </tableColumn>
    <tableColumn id="22" name="*8" totalsRowFunction="custom" dataDxfId="381" totalsRowDxfId="380">
      <totalsRowFormula>COUNTIF(ParticipationSeptembre16212223[*8],"N1")+COUNTIF(ParticipationSeptembre16212223[*8],"E")</totalsRowFormula>
    </tableColumn>
    <tableColumn id="23" name="*15" totalsRowFunction="custom" dataDxfId="379" totalsRowDxfId="378">
      <totalsRowFormula>COUNTIF(ParticipationSeptembre16212223[*15],"N1")+COUNTIF(ParticipationSeptembre16212223[*15],"E")</totalsRowFormula>
    </tableColumn>
    <tableColumn id="24" name="22" totalsRowFunction="custom" dataDxfId="377" totalsRowDxfId="376">
      <totalsRowFormula>COUNTIF(ParticipationSeptembre16212223[22],"N1")+COUNTIF(ParticipationSeptembre16212223[22],"E")</totalsRowFormula>
    </tableColumn>
    <tableColumn id="25" name="*29" totalsRowFunction="custom" dataDxfId="375" totalsRowDxfId="374">
      <totalsRowFormula>COUNTIF(ParticipationSeptembre16212223[*29],"N1")+COUNTIF(ParticipationSeptembre16212223[*29],"E")</totalsRowFormula>
    </tableColumn>
    <tableColumn id="26" name="*19" totalsRowFunction="custom" dataDxfId="373" totalsRowDxfId="372">
      <totalsRowFormula>COUNTIF(ParticipationSeptembre16212223[*19],"N1")+COUNTIF(ParticipationSeptembre16212223[*19],"E")</totalsRowFormula>
    </tableColumn>
    <tableColumn id="27" name="*26" totalsRowFunction="custom" dataDxfId="371" totalsRowDxfId="370">
      <totalsRowFormula>COUNTIF(ParticipationSeptembre16212223[*26],"N1")+COUNTIF(ParticipationSeptembre16212223[*26],"E")</totalsRowFormula>
    </tableColumn>
    <tableColumn id="28" name="*3" totalsRowFunction="custom" dataDxfId="369" totalsRowDxfId="368">
      <totalsRowFormula>COUNTIF(ParticipationSeptembre16212223[*3],"N1")+COUNTIF(ParticipationSeptembre16212223[*3],"E")</totalsRowFormula>
    </tableColumn>
    <tableColumn id="29" name="*10" totalsRowFunction="custom" dataDxfId="367" totalsRowDxfId="366">
      <totalsRowFormula>COUNTIF(ParticipationSeptembre16212223[*10],"N1")+COUNTIF(ParticipationSeptembre16212223[*10],"E")</totalsRowFormula>
    </tableColumn>
    <tableColumn id="30" name="*17" totalsRowFunction="custom" dataDxfId="365" totalsRowDxfId="364">
      <totalsRowFormula>COUNTIF(ParticipationSeptembre16212223[*17],"N1")+COUNTIF(ParticipationSeptembre16212223[*17],"E")</totalsRowFormula>
    </tableColumn>
    <tableColumn id="31" name="*24" totalsRowFunction="custom" totalsRowDxfId="363">
      <totalsRowFormula>COUNTIF(ParticipationSeptembre16212223[*24],"N1")+COUNTIF(ParticipationSeptembre16212223[*24],"E")</totalsRowFormula>
    </tableColumn>
    <tableColumn id="32" name="30" totalsRowFunction="custom" totalsRowDxfId="362">
      <totalsRowFormula>COUNTIF(ParticipationSeptembre16212223[30],"N1")+COUNTIF(ParticipationSeptembre16212223[30],"E")</totalsRowFormula>
    </tableColumn>
    <tableColumn id="35" name="R" totalsRowFunction="sum" dataDxfId="361" totalsRowDxfId="360">
      <calculatedColumnFormula>COUNTIF(ParticipationSeptembre16212223[[#This Row],[fecha de nacimiento]:[30]],Code1)</calculatedColumnFormula>
    </tableColumn>
    <tableColumn id="34" name="E" totalsRowFunction="sum" dataDxfId="359" totalsRowDxfId="358">
      <calculatedColumnFormula>COUNTIF(ParticipationSeptembre16212223[[#This Row],[fecha de nacimiento]:[30]],Code2)</calculatedColumnFormula>
    </tableColumn>
    <tableColumn id="37" name="N1" totalsRowFunction="sum" dataDxfId="357" totalsRowDxfId="356">
      <calculatedColumnFormula>COUNTIF(ParticipationSeptembre16212223[[#This Row],[fecha de nacimiento]:[30]],Code3)</calculatedColumnFormula>
    </tableColumn>
    <tableColumn id="36" name="P" totalsRowFunction="sum" dataDxfId="355" totalsRowDxfId="354">
      <calculatedColumnFormula>COUNTIF(ParticipationSeptembre16212223[[#This Row],[fecha de nacimiento]:[30]],Code4)</calculatedColumnFormula>
    </tableColumn>
    <tableColumn id="33" name="Dias de ausencia" totalsRowDxfId="353">
      <calculatedColumnFormula>SUM(ParticipationSeptembre16212223[[#This Row],[E]:[N1]])</calculatedColumnFormula>
    </tableColumn>
  </tableColumns>
  <tableStyleInfo name="Employee Absence Table" showFirstColumn="0" showLastColumn="1" showRowStripes="1" showColumnStripes="1"/>
  <extLst>
    <ext xmlns:x14="http://schemas.microsoft.com/office/spreadsheetml/2009/9/main" uri="{504A1905-F514-4f6f-8877-14C23A59335A}">
      <x14:table altText="Fiche de présence d’août" altTextSummary="Permet d’assurer le suivi de présence des élèves (R=en retard, E=excusé, N=non excusé, P=présent, N=école fermée) pour le mois de septembre."/>
    </ext>
  </extLst>
</table>
</file>

<file path=xl/tables/table11.xml><?xml version="1.0" encoding="utf-8"?>
<table xmlns="http://schemas.openxmlformats.org/spreadsheetml/2006/main" id="5" name="ParticipationSeptembre16212223242830316" displayName="ParticipationSeptembre16212223242830316" ref="B6:AO78" totalsRowCount="1" totalsRowDxfId="352">
  <tableColumns count="40">
    <tableColumn id="38" name="Nombre" dataDxfId="351" totalsRowDxfId="350"/>
    <tableColumn id="1" name="Apellido" totalsRowLabel="Jours d’absence (total)" dataDxfId="349" totalsRowDxfId="348"/>
    <tableColumn id="40" name="Responsable 1" dataDxfId="347" totalsRowDxfId="346"/>
    <tableColumn id="39" name="Responsable 2" dataDxfId="345" totalsRowDxfId="344"/>
    <tableColumn id="2" name="f. de nacimiento" totalsRowFunction="custom" dataDxfId="343" totalsRowDxfId="342">
      <totalsRowFormula>COUNTIF(ParticipationSeptembre16212223242830316[f. de nacimiento],"N1")+COUNTIF(ParticipationSeptembre16212223242830316[f. de nacimiento],"E")</totalsRowFormula>
    </tableColumn>
    <tableColumn id="3" name="29" totalsRowFunction="custom" dataDxfId="341" totalsRowDxfId="340">
      <totalsRowFormula>COUNTIF(ParticipationSeptembre16212223242830316[29],"N1")+COUNTIF(ParticipationSeptembre16212223242830316[29],"E")</totalsRowFormula>
    </tableColumn>
    <tableColumn id="4" name="6" totalsRowFunction="custom" dataDxfId="339" totalsRowDxfId="338">
      <totalsRowFormula>COUNTIF(ParticipationSeptembre16212223242830316[6],"N1")+COUNTIF(ParticipationSeptembre16212223242830316[6],"E")</totalsRowFormula>
    </tableColumn>
    <tableColumn id="5" name="13" totalsRowFunction="custom" dataDxfId="337" totalsRowDxfId="336">
      <totalsRowFormula>COUNTIF(ParticipationSeptembre16212223242830316[13],"N1")+COUNTIF(ParticipationSeptembre16212223242830316[13],"E")</totalsRowFormula>
    </tableColumn>
    <tableColumn id="6" name="20" totalsRowFunction="custom" dataDxfId="335" totalsRowDxfId="334">
      <totalsRowFormula>COUNTIF(ParticipationSeptembre16212223242830316[20],"N1")+COUNTIF(ParticipationSeptembre16212223242830316[20],"E")</totalsRowFormula>
    </tableColumn>
    <tableColumn id="7" name="27" totalsRowFunction="custom" dataDxfId="333" totalsRowDxfId="332">
      <totalsRowFormula>COUNTIF(ParticipationSeptembre16212223242830316[27],"N1")+COUNTIF(ParticipationSeptembre16212223242830316[27],"E")</totalsRowFormula>
    </tableColumn>
    <tableColumn id="8" name="3" totalsRowFunction="custom" dataDxfId="331" totalsRowDxfId="330">
      <totalsRowFormula>COUNTIF(ParticipationSeptembre16212223242830316[3],"N1")+COUNTIF(ParticipationSeptembre16212223242830316[3],"E")</totalsRowFormula>
    </tableColumn>
    <tableColumn id="9" name="10" totalsRowFunction="custom" dataDxfId="329" totalsRowDxfId="328">
      <totalsRowFormula>COUNTIF(ParticipationSeptembre16212223242830316[10],"N1")+COUNTIF(ParticipationSeptembre16212223242830316[10],"E")</totalsRowFormula>
    </tableColumn>
    <tableColumn id="10" name="17" totalsRowFunction="custom" dataDxfId="327" totalsRowDxfId="326">
      <totalsRowFormula>COUNTIF(ParticipationSeptembre16212223242830316[17],"N1")+COUNTIF(ParticipationSeptembre16212223242830316[17],"E")</totalsRowFormula>
    </tableColumn>
    <tableColumn id="11" name="24" totalsRowFunction="custom" dataDxfId="325" totalsRowDxfId="324">
      <totalsRowFormula>COUNTIF(ParticipationSeptembre16212223242830316[24],"N1")+COUNTIF(ParticipationSeptembre16212223242830316[24],"E")</totalsRowFormula>
    </tableColumn>
    <tableColumn id="12" name="14" totalsRowFunction="custom" dataDxfId="323" totalsRowDxfId="322">
      <totalsRowFormula>COUNTIF(ParticipationSeptembre16212223242830316[14],"N1")+COUNTIF(ParticipationSeptembre16212223242830316[14],"E")</totalsRowFormula>
    </tableColumn>
    <tableColumn id="13" name="8" totalsRowFunction="custom" dataDxfId="321" totalsRowDxfId="320">
      <totalsRowFormula>COUNTIF(ParticipationSeptembre16212223242830316[8],"N1")+COUNTIF(ParticipationSeptembre16212223242830316[8],"E")</totalsRowFormula>
    </tableColumn>
    <tableColumn id="14" name="15" totalsRowFunction="custom" dataDxfId="319" totalsRowDxfId="318">
      <totalsRowFormula>COUNTIF(ParticipationSeptembre16212223242830316[15],"N1")+COUNTIF(ParticipationSeptembre16212223242830316[15],"E")</totalsRowFormula>
    </tableColumn>
    <tableColumn id="15" name="12" totalsRowFunction="custom" dataDxfId="317" totalsRowDxfId="316">
      <totalsRowFormula>COUNTIF(ParticipationSeptembre16212223242830316[12],"N1")+COUNTIF(ParticipationSeptembre16212223242830316[12],"E")</totalsRowFormula>
    </tableColumn>
    <tableColumn id="16" name="19" totalsRowFunction="custom" dataDxfId="315" totalsRowDxfId="314">
      <totalsRowFormula>COUNTIF(ParticipationSeptembre16212223242830316[19],"N1")+COUNTIF(ParticipationSeptembre16212223242830316[19],"E")</totalsRowFormula>
    </tableColumn>
    <tableColumn id="17" name="26" totalsRowFunction="custom" dataDxfId="313" totalsRowDxfId="312">
      <totalsRowFormula>COUNTIF(ParticipationSeptembre16212223242830316[26],"N1")+COUNTIF(ParticipationSeptembre16212223242830316[26],"E")</totalsRowFormula>
    </tableColumn>
    <tableColumn id="18" name="2" totalsRowFunction="custom" dataDxfId="311" totalsRowDxfId="310">
      <totalsRowFormula>COUNTIF(ParticipationSeptembre16212223242830316[2],"N1")+COUNTIF(ParticipationSeptembre16212223242830316[2],"E")</totalsRowFormula>
    </tableColumn>
    <tableColumn id="19" name="9" totalsRowFunction="custom" dataDxfId="309" totalsRowDxfId="308">
      <totalsRowFormula>COUNTIF(ParticipationSeptembre16212223242830316[9],"N1")+COUNTIF(ParticipationSeptembre16212223242830316[9],"E")</totalsRowFormula>
    </tableColumn>
    <tableColumn id="20" name="16" totalsRowFunction="custom" dataDxfId="307" totalsRowDxfId="306">
      <totalsRowFormula>COUNTIF(ParticipationSeptembre16212223242830316[16],"N1")+COUNTIF(ParticipationSeptembre16212223242830316[16],"E")</totalsRowFormula>
    </tableColumn>
    <tableColumn id="21" name="23" totalsRowFunction="custom" dataDxfId="305" totalsRowDxfId="304">
      <totalsRowFormula>COUNTIF(ParticipationSeptembre16212223242830316[23],"N1")+COUNTIF(ParticipationSeptembre16212223242830316[23],"E")</totalsRowFormula>
    </tableColumn>
    <tableColumn id="22" name="*8" totalsRowFunction="custom" dataDxfId="303" totalsRowDxfId="302">
      <totalsRowFormula>COUNTIF(ParticipationSeptembre16212223242830316[*8],"N1")+COUNTIF(ParticipationSeptembre16212223242830316[*8],"E")</totalsRowFormula>
    </tableColumn>
    <tableColumn id="23" name="*15" totalsRowFunction="custom" dataDxfId="301" totalsRowDxfId="300">
      <totalsRowFormula>COUNTIF(ParticipationSeptembre16212223242830316[*15],"N1")+COUNTIF(ParticipationSeptembre16212223242830316[*15],"E")</totalsRowFormula>
    </tableColumn>
    <tableColumn id="24" name="22" totalsRowFunction="custom" dataDxfId="299" totalsRowDxfId="298">
      <totalsRowFormula>COUNTIF(ParticipationSeptembre16212223242830316[22],"N1")+COUNTIF(ParticipationSeptembre16212223242830316[22],"E")</totalsRowFormula>
    </tableColumn>
    <tableColumn id="25" name="*29" totalsRowFunction="custom" dataDxfId="297" totalsRowDxfId="296">
      <totalsRowFormula>COUNTIF(ParticipationSeptembre16212223242830316[*29],"N1")+COUNTIF(ParticipationSeptembre16212223242830316[*29],"E")</totalsRowFormula>
    </tableColumn>
    <tableColumn id="26" name="*19" totalsRowFunction="custom" dataDxfId="295" totalsRowDxfId="294">
      <totalsRowFormula>COUNTIF(ParticipationSeptembre16212223242830316[*19],"N1")+COUNTIF(ParticipationSeptembre16212223242830316[*19],"E")</totalsRowFormula>
    </tableColumn>
    <tableColumn id="27" name="*26" totalsRowFunction="custom" dataDxfId="293" totalsRowDxfId="292">
      <totalsRowFormula>COUNTIF(ParticipationSeptembre16212223242830316[*26],"N1")+COUNTIF(ParticipationSeptembre16212223242830316[*26],"E")</totalsRowFormula>
    </tableColumn>
    <tableColumn id="28" name="*3" totalsRowFunction="custom" dataDxfId="291" totalsRowDxfId="290">
      <totalsRowFormula>COUNTIF(ParticipationSeptembre16212223242830316[*3],"N1")+COUNTIF(ParticipationSeptembre16212223242830316[*3],"E")</totalsRowFormula>
    </tableColumn>
    <tableColumn id="29" name="*10" totalsRowFunction="custom" dataDxfId="289" totalsRowDxfId="288">
      <totalsRowFormula>COUNTIF(ParticipationSeptembre16212223242830316[*10],"N1")+COUNTIF(ParticipationSeptembre16212223242830316[*10],"E")</totalsRowFormula>
    </tableColumn>
    <tableColumn id="30" name="*17" totalsRowFunction="custom" dataDxfId="287" totalsRowDxfId="286">
      <totalsRowFormula>COUNTIF(ParticipationSeptembre16212223242830316[*17],"N1")+COUNTIF(ParticipationSeptembre16212223242830316[*17],"E")</totalsRowFormula>
    </tableColumn>
    <tableColumn id="31" name="*24" totalsRowFunction="custom" totalsRowDxfId="285">
      <totalsRowFormula>COUNTIF(ParticipationSeptembre16212223242830316[*24],"N1")+COUNTIF(ParticipationSeptembre16212223242830316[*24],"E")</totalsRowFormula>
    </tableColumn>
    <tableColumn id="32" name="30" totalsRowFunction="custom" totalsRowDxfId="284">
      <totalsRowFormula>COUNTIF(ParticipationSeptembre16212223242830316[30],"N1")+COUNTIF(ParticipationSeptembre16212223242830316[30],"E")</totalsRowFormula>
    </tableColumn>
    <tableColumn id="35" name="R" totalsRowFunction="sum" dataDxfId="283" totalsRowDxfId="282"/>
    <tableColumn id="34" name="E" totalsRowFunction="sum" dataDxfId="281" totalsRowDxfId="280"/>
    <tableColumn id="37" name="N1" totalsRowFunction="sum" dataDxfId="279" totalsRowDxfId="278"/>
    <tableColumn id="36" name="P" totalsRowFunction="sum" dataDxfId="277" totalsRowDxfId="276"/>
    <tableColumn id="33" name="Dias de ausencia" totalsRowDxfId="275"/>
  </tableColumns>
  <tableStyleInfo name="Employee Absence Table" showFirstColumn="0" showLastColumn="1" showRowStripes="1" showColumnStripes="1"/>
  <extLst>
    <ext xmlns:x14="http://schemas.microsoft.com/office/spreadsheetml/2009/9/main" uri="{504A1905-F514-4f6f-8877-14C23A59335A}">
      <x14:table altText="Fiche de présence d’août" altTextSummary="Permet d’assurer le suivi de présence des élèves (R=en retard, E=excusé, N=non excusé, P=présent, N=école fermée) pour le mois de septembre."/>
    </ext>
  </extLst>
</table>
</file>

<file path=xl/tables/table12.xml><?xml version="1.0" encoding="utf-8"?>
<table xmlns="http://schemas.openxmlformats.org/spreadsheetml/2006/main" id="3" name="ParticipationAoût" displayName="ParticipationAoût" ref="B6:AM12" totalsRowCount="1" totalsRowDxfId="274">
  <tableColumns count="38">
    <tableColumn id="38" name="Référence" totalsRowDxfId="273"/>
    <tableColumn id="1" name="Nom de l’élève" totalsRowLabel="Jours d’absence (total)" totalsRowDxfId="272">
      <calculatedColumnFormula>IFERROR(VLOOKUP(ParticipationAoût[[#This Row],[Référence]],ListeÉtudiants[],18,FALSE),"")</calculatedColumnFormula>
    </tableColumn>
    <tableColumn id="2" name="Colonne1" totalsRowFunction="custom" totalsRowDxfId="271">
      <totalsRowFormula>COUNTIF(ParticipationAoût[Colonne1],"N1")+COUNTIF(ParticipationAoût[Colonne1],"E")</totalsRowFormula>
    </tableColumn>
    <tableColumn id="3" name="29" totalsRowFunction="custom" totalsRowDxfId="270">
      <totalsRowFormula>COUNTIF(ParticipationAoût[29],"N1")+COUNTIF(ParticipationAoût[29],"E")</totalsRowFormula>
    </tableColumn>
    <tableColumn id="4" name="6" totalsRowFunction="custom" totalsRowDxfId="269">
      <totalsRowFormula>COUNTIF(ParticipationAoût[6],"N1")+COUNTIF(ParticipationAoût[6],"E")</totalsRowFormula>
    </tableColumn>
    <tableColumn id="5" name="13" totalsRowFunction="custom" totalsRowDxfId="268">
      <totalsRowFormula>COUNTIF(ParticipationAoût[13],"N1")+COUNTIF(ParticipationAoût[13],"E")</totalsRowFormula>
    </tableColumn>
    <tableColumn id="6" name="20" totalsRowFunction="custom" totalsRowDxfId="267">
      <totalsRowFormula>COUNTIF(ParticipationAoût[20],"N1")+COUNTIF(ParticipationAoût[20],"E")</totalsRowFormula>
    </tableColumn>
    <tableColumn id="7" name="27" totalsRowFunction="custom" totalsRowDxfId="266">
      <totalsRowFormula>COUNTIF(ParticipationAoût[27],"N1")+COUNTIF(ParticipationAoût[27],"E")</totalsRowFormula>
    </tableColumn>
    <tableColumn id="8" name="3" totalsRowFunction="custom" totalsRowDxfId="265">
      <totalsRowFormula>COUNTIF(ParticipationAoût[3],"N1")+COUNTIF(ParticipationAoût[3],"E")</totalsRowFormula>
    </tableColumn>
    <tableColumn id="9" name="10" totalsRowFunction="custom" totalsRowDxfId="264">
      <totalsRowFormula>COUNTIF(ParticipationAoût[10],"N1")+COUNTIF(ParticipationAoût[10],"E")</totalsRowFormula>
    </tableColumn>
    <tableColumn id="10" name="17" totalsRowFunction="custom" totalsRowDxfId="263">
      <totalsRowFormula>COUNTIF(ParticipationAoût[17],"N1")+COUNTIF(ParticipationAoût[17],"E")</totalsRowFormula>
    </tableColumn>
    <tableColumn id="11" name="24" totalsRowFunction="custom" totalsRowDxfId="262">
      <totalsRowFormula>COUNTIF(ParticipationAoût[24],"N1")+COUNTIF(ParticipationAoût[24],"E")</totalsRowFormula>
    </tableColumn>
    <tableColumn id="12" name="14" totalsRowFunction="custom" totalsRowDxfId="261">
      <totalsRowFormula>COUNTIF(ParticipationAoût[14],"N1")+COUNTIF(ParticipationAoût[14],"E")</totalsRowFormula>
    </tableColumn>
    <tableColumn id="13" name="8" totalsRowFunction="custom" totalsRowDxfId="260">
      <totalsRowFormula>COUNTIF(ParticipationAoût[8],"N1")+COUNTIF(ParticipationAoût[8],"E")</totalsRowFormula>
    </tableColumn>
    <tableColumn id="14" name="15" totalsRowFunction="custom" totalsRowDxfId="259">
      <totalsRowFormula>COUNTIF(ParticipationAoût[15],"N1")+COUNTIF(ParticipationAoût[15],"E")</totalsRowFormula>
    </tableColumn>
    <tableColumn id="15" name="12" totalsRowFunction="custom" totalsRowDxfId="258">
      <totalsRowFormula>COUNTIF(ParticipationAoût[12],"N1")+COUNTIF(ParticipationAoût[12],"E")</totalsRowFormula>
    </tableColumn>
    <tableColumn id="16" name="19" totalsRowFunction="custom" totalsRowDxfId="257">
      <totalsRowFormula>COUNTIF(ParticipationAoût[19],"N1")+COUNTIF(ParticipationAoût[19],"E")</totalsRowFormula>
    </tableColumn>
    <tableColumn id="17" name="26" totalsRowFunction="custom" totalsRowDxfId="256">
      <totalsRowFormula>COUNTIF(ParticipationAoût[26],"N1")+COUNTIF(ParticipationAoût[26],"E")</totalsRowFormula>
    </tableColumn>
    <tableColumn id="18" name="2" totalsRowFunction="custom" totalsRowDxfId="255">
      <totalsRowFormula>COUNTIF(ParticipationAoût[2],"N1")+COUNTIF(ParticipationAoût[2],"E")</totalsRowFormula>
    </tableColumn>
    <tableColumn id="19" name="9" totalsRowFunction="custom" totalsRowDxfId="254">
      <totalsRowFormula>COUNTIF(ParticipationAoût[9],"N1")+COUNTIF(ParticipationAoût[9],"E")</totalsRowFormula>
    </tableColumn>
    <tableColumn id="20" name="16" totalsRowFunction="custom" totalsRowDxfId="253">
      <totalsRowFormula>COUNTIF(ParticipationAoût[16],"N1")+COUNTIF(ParticipationAoût[16],"E")</totalsRowFormula>
    </tableColumn>
    <tableColumn id="21" name="23" totalsRowFunction="custom" totalsRowDxfId="252">
      <totalsRowFormula>COUNTIF(ParticipationAoût[23],"N1")+COUNTIF(ParticipationAoût[23],"E")</totalsRowFormula>
    </tableColumn>
    <tableColumn id="22" name="*8" totalsRowFunction="custom" totalsRowDxfId="251">
      <totalsRowFormula>COUNTIF(ParticipationAoût[*8],"N1")+COUNTIF(ParticipationAoût[*8],"E")</totalsRowFormula>
    </tableColumn>
    <tableColumn id="23" name="*15" totalsRowFunction="custom" totalsRowDxfId="250">
      <totalsRowFormula>COUNTIF(ParticipationAoût[*15],"N1")+COUNTIF(ParticipationAoût[*15],"E")</totalsRowFormula>
    </tableColumn>
    <tableColumn id="24" name="22" totalsRowFunction="custom" totalsRowDxfId="249">
      <totalsRowFormula>COUNTIF(ParticipationAoût[22],"N1")+COUNTIF(ParticipationAoût[22],"E")</totalsRowFormula>
    </tableColumn>
    <tableColumn id="25" name="*29" totalsRowFunction="custom" totalsRowDxfId="248">
      <totalsRowFormula>COUNTIF(ParticipationAoût[*29],"N1")+COUNTIF(ParticipationAoût[*29],"E")</totalsRowFormula>
    </tableColumn>
    <tableColumn id="26" name="*19" totalsRowFunction="custom" totalsRowDxfId="247">
      <totalsRowFormula>COUNTIF(ParticipationAoût[*19],"N1")+COUNTIF(ParticipationAoût[*19],"E")</totalsRowFormula>
    </tableColumn>
    <tableColumn id="27" name="*26" totalsRowFunction="custom" totalsRowDxfId="246">
      <totalsRowFormula>COUNTIF(ParticipationAoût[*26],"N1")+COUNTIF(ParticipationAoût[*26],"E")</totalsRowFormula>
    </tableColumn>
    <tableColumn id="28" name="*3" totalsRowFunction="custom" totalsRowDxfId="245">
      <totalsRowFormula>COUNTIF(ParticipationAoût[*3],"N1")+COUNTIF(ParticipationAoût[*3],"E")</totalsRowFormula>
    </tableColumn>
    <tableColumn id="29" name="*10" totalsRowFunction="custom" totalsRowDxfId="244">
      <totalsRowFormula>COUNTIF(ParticipationAoût[*10],"N1")+COUNTIF(ParticipationAoût[*10],"E")</totalsRowFormula>
    </tableColumn>
    <tableColumn id="30" name="*17" totalsRowFunction="custom" totalsRowDxfId="243">
      <totalsRowFormula>COUNTIF(ParticipationAoût[*17],"N1")+COUNTIF(ParticipationAoût[*17],"E")</totalsRowFormula>
    </tableColumn>
    <tableColumn id="31" name="*24" totalsRowFunction="custom" totalsRowDxfId="242">
      <totalsRowFormula>COUNTIF(ParticipationAoût[*24],"N1")+COUNTIF(ParticipationAoût[*24],"E")</totalsRowFormula>
    </tableColumn>
    <tableColumn id="32" name="30" totalsRowFunction="custom" totalsRowDxfId="241">
      <totalsRowFormula>COUNTIF(ParticipationAoût[30],"N1")+COUNTIF(ParticipationAoût[30],"E")</totalsRowFormula>
    </tableColumn>
    <tableColumn id="35" name="R" totalsRowFunction="sum" dataDxfId="240" totalsRowDxfId="239">
      <calculatedColumnFormula>COUNTIF(ParticipationAoût[[#This Row],[Colonne1]:[30]],Code1)</calculatedColumnFormula>
    </tableColumn>
    <tableColumn id="34" name="E" totalsRowFunction="sum" dataDxfId="238" totalsRowDxfId="237">
      <calculatedColumnFormula>COUNTIF(ParticipationAoût[[#This Row],[Colonne1]:[30]],Code2)</calculatedColumnFormula>
    </tableColumn>
    <tableColumn id="37" name="N1" totalsRowFunction="sum" dataDxfId="236" totalsRowDxfId="235">
      <calculatedColumnFormula>COUNTIF(ParticipationAoût[[#This Row],[Colonne1]:[30]],Code3)</calculatedColumnFormula>
    </tableColumn>
    <tableColumn id="36" name="P" totalsRowFunction="sum" dataDxfId="234" totalsRowDxfId="233">
      <calculatedColumnFormula>COUNTIF(ParticipationAoût[[#This Row],[Colonne1]:[30]],Code4)</calculatedColumnFormula>
    </tableColumn>
    <tableColumn id="33" name="Jours d’absence" totalsRowFunction="sum" totalsRowDxfId="232">
      <calculatedColumnFormula>SUM(ParticipationAoût[[#This Row],[E]:[N1]])</calculatedColumnFormula>
    </tableColumn>
  </tableColumns>
  <tableStyleInfo name="Employee Absence Table" showFirstColumn="0" showLastColumn="1" showRowStripes="1" showColumnStripes="1"/>
  <extLst>
    <ext xmlns:x14="http://schemas.microsoft.com/office/spreadsheetml/2009/9/main" uri="{504A1905-F514-4f6f-8877-14C23A59335A}">
      <x14:table altText="Fiche de présence d’août" altTextSummary="Permet d’assurer le suivi de présence des élèves (R=en retard, E=excusé, N=non excusé, P=présent, N=école fermée) pour le mois d’aôut."/>
    </ext>
  </extLst>
</table>
</file>

<file path=xl/tables/table2.xml><?xml version="1.0" encoding="utf-8"?>
<table xmlns="http://schemas.openxmlformats.org/spreadsheetml/2006/main" id="32" name="ParticipationSeptembre162133" displayName="ParticipationSeptembre162133" ref="B6:AM13" totalsRowCount="1" totalsRowDxfId="942">
  <tableColumns count="38">
    <tableColumn id="38" name="Nombre" dataDxfId="941" totalsRowDxfId="940"/>
    <tableColumn id="1" name="Apellido" totalsRowLabel="Jours d’absence (total)" dataDxfId="939" totalsRowDxfId="938"/>
    <tableColumn id="2" name="f. de nacimiento" totalsRowFunction="custom" dataDxfId="937" totalsRowDxfId="936">
      <totalsRowFormula>COUNTIF(ParticipationSeptembre162133[f. de nacimiento],"N1")+COUNTIF(ParticipationSeptembre162133[f. de nacimiento],"E")</totalsRowFormula>
    </tableColumn>
    <tableColumn id="3" name="29" totalsRowFunction="custom" dataDxfId="935" totalsRowDxfId="934">
      <totalsRowFormula>COUNTIF(ParticipationSeptembre162133[29],"N1")+COUNTIF(ParticipationSeptembre162133[29],"E")</totalsRowFormula>
    </tableColumn>
    <tableColumn id="4" name="6" totalsRowFunction="custom" dataDxfId="933" totalsRowDxfId="932">
      <totalsRowFormula>COUNTIF(ParticipationSeptembre162133[6],"N1")+COUNTIF(ParticipationSeptembre162133[6],"E")</totalsRowFormula>
    </tableColumn>
    <tableColumn id="5" name="13" totalsRowFunction="custom" dataDxfId="931" totalsRowDxfId="930">
      <totalsRowFormula>COUNTIF(ParticipationSeptembre162133[13],"N1")+COUNTIF(ParticipationSeptembre162133[13],"E")</totalsRowFormula>
    </tableColumn>
    <tableColumn id="6" name="20" totalsRowFunction="custom" dataDxfId="929" totalsRowDxfId="928">
      <totalsRowFormula>COUNTIF(ParticipationSeptembre162133[20],"N1")+COUNTIF(ParticipationSeptembre162133[20],"E")</totalsRowFormula>
    </tableColumn>
    <tableColumn id="7" name="27" totalsRowFunction="custom" dataDxfId="927" totalsRowDxfId="926">
      <totalsRowFormula>COUNTIF(ParticipationSeptembre162133[27],"N1")+COUNTIF(ParticipationSeptembre162133[27],"E")</totalsRowFormula>
    </tableColumn>
    <tableColumn id="8" name="3" totalsRowFunction="custom" dataDxfId="925" totalsRowDxfId="924">
      <totalsRowFormula>COUNTIF(ParticipationSeptembre162133[3],"N1")+COUNTIF(ParticipationSeptembre162133[3],"E")</totalsRowFormula>
    </tableColumn>
    <tableColumn id="9" name="10" totalsRowFunction="custom" dataDxfId="923" totalsRowDxfId="922">
      <totalsRowFormula>COUNTIF(ParticipationSeptembre162133[10],"N1")+COUNTIF(ParticipationSeptembre162133[10],"E")</totalsRowFormula>
    </tableColumn>
    <tableColumn id="10" name="17" totalsRowFunction="custom" dataDxfId="921" totalsRowDxfId="920">
      <totalsRowFormula>COUNTIF(ParticipationSeptembre162133[17],"N1")+COUNTIF(ParticipationSeptembre162133[17],"E")</totalsRowFormula>
    </tableColumn>
    <tableColumn id="11" name="24" totalsRowFunction="custom" dataDxfId="919" totalsRowDxfId="918">
      <totalsRowFormula>COUNTIF(ParticipationSeptembre162133[24],"N1")+COUNTIF(ParticipationSeptembre162133[24],"E")</totalsRowFormula>
    </tableColumn>
    <tableColumn id="12" name="14" totalsRowFunction="custom" dataDxfId="917" totalsRowDxfId="916">
      <totalsRowFormula>COUNTIF(ParticipationSeptembre162133[14],"N1")+COUNTIF(ParticipationSeptembre162133[14],"E")</totalsRowFormula>
    </tableColumn>
    <tableColumn id="13" name="8" totalsRowFunction="custom" dataDxfId="915" totalsRowDxfId="914">
      <totalsRowFormula>COUNTIF(ParticipationSeptembre162133[8],"N1")+COUNTIF(ParticipationSeptembre162133[8],"E")</totalsRowFormula>
    </tableColumn>
    <tableColumn id="14" name="15" totalsRowFunction="custom" dataDxfId="913" totalsRowDxfId="912">
      <totalsRowFormula>COUNTIF(ParticipationSeptembre162133[15],"N1")+COUNTIF(ParticipationSeptembre162133[15],"E")</totalsRowFormula>
    </tableColumn>
    <tableColumn id="15" name="12" totalsRowFunction="custom" dataDxfId="911" totalsRowDxfId="910">
      <totalsRowFormula>COUNTIF(ParticipationSeptembre162133[12],"N1")+COUNTIF(ParticipationSeptembre162133[12],"E")</totalsRowFormula>
    </tableColumn>
    <tableColumn id="16" name="19" totalsRowFunction="custom" dataDxfId="909" totalsRowDxfId="908">
      <totalsRowFormula>COUNTIF(ParticipationSeptembre162133[19],"N1")+COUNTIF(ParticipationSeptembre162133[19],"E")</totalsRowFormula>
    </tableColumn>
    <tableColumn id="17" name="26" totalsRowFunction="custom" dataDxfId="907" totalsRowDxfId="906">
      <totalsRowFormula>COUNTIF(ParticipationSeptembre162133[26],"N1")+COUNTIF(ParticipationSeptembre162133[26],"E")</totalsRowFormula>
    </tableColumn>
    <tableColumn id="18" name="2" totalsRowFunction="custom" dataDxfId="905" totalsRowDxfId="904">
      <totalsRowFormula>COUNTIF(ParticipationSeptembre162133[2],"N1")+COUNTIF(ParticipationSeptembre162133[2],"E")</totalsRowFormula>
    </tableColumn>
    <tableColumn id="19" name="9" totalsRowFunction="custom" dataDxfId="903" totalsRowDxfId="902">
      <totalsRowFormula>COUNTIF(ParticipationSeptembre162133[9],"N1")+COUNTIF(ParticipationSeptembre162133[9],"E")</totalsRowFormula>
    </tableColumn>
    <tableColumn id="20" name="16" totalsRowFunction="custom" dataDxfId="901" totalsRowDxfId="900">
      <totalsRowFormula>COUNTIF(ParticipationSeptembre162133[16],"N1")+COUNTIF(ParticipationSeptembre162133[16],"E")</totalsRowFormula>
    </tableColumn>
    <tableColumn id="21" name="23" totalsRowFunction="custom" dataDxfId="899" totalsRowDxfId="898">
      <totalsRowFormula>COUNTIF(ParticipationSeptembre162133[23],"N1")+COUNTIF(ParticipationSeptembre162133[23],"E")</totalsRowFormula>
    </tableColumn>
    <tableColumn id="22" name="*8" totalsRowFunction="custom" dataDxfId="897" totalsRowDxfId="896">
      <totalsRowFormula>COUNTIF(ParticipationSeptembre162133[*8],"N1")+COUNTIF(ParticipationSeptembre162133[*8],"E")</totalsRowFormula>
    </tableColumn>
    <tableColumn id="23" name="*15" totalsRowFunction="custom" dataDxfId="895" totalsRowDxfId="894">
      <totalsRowFormula>COUNTIF(ParticipationSeptembre162133[*15],"N1")+COUNTIF(ParticipationSeptembre162133[*15],"E")</totalsRowFormula>
    </tableColumn>
    <tableColumn id="24" name="22" totalsRowFunction="custom" dataDxfId="893" totalsRowDxfId="892">
      <totalsRowFormula>COUNTIF(ParticipationSeptembre162133[22],"N1")+COUNTIF(ParticipationSeptembre162133[22],"E")</totalsRowFormula>
    </tableColumn>
    <tableColumn id="25" name="*29" totalsRowFunction="custom" dataDxfId="891" totalsRowDxfId="890">
      <totalsRowFormula>COUNTIF(ParticipationSeptembre162133[*29],"N1")+COUNTIF(ParticipationSeptembre162133[*29],"E")</totalsRowFormula>
    </tableColumn>
    <tableColumn id="26" name="*19" totalsRowFunction="custom" dataDxfId="889" totalsRowDxfId="888">
      <totalsRowFormula>COUNTIF(ParticipationSeptembre162133[*19],"N1")+COUNTIF(ParticipationSeptembre162133[*19],"E")</totalsRowFormula>
    </tableColumn>
    <tableColumn id="27" name="*26" totalsRowFunction="custom" dataDxfId="887" totalsRowDxfId="886">
      <totalsRowFormula>COUNTIF(ParticipationSeptembre162133[*26],"N1")+COUNTIF(ParticipationSeptembre162133[*26],"E")</totalsRowFormula>
    </tableColumn>
    <tableColumn id="28" name="*3" totalsRowFunction="custom" dataDxfId="885" totalsRowDxfId="884">
      <totalsRowFormula>COUNTIF(ParticipationSeptembre162133[*3],"N1")+COUNTIF(ParticipationSeptembre162133[*3],"E")</totalsRowFormula>
    </tableColumn>
    <tableColumn id="29" name="*10" totalsRowFunction="custom" dataDxfId="883" totalsRowDxfId="882">
      <totalsRowFormula>COUNTIF(ParticipationSeptembre162133[*10],"N1")+COUNTIF(ParticipationSeptembre162133[*10],"E")</totalsRowFormula>
    </tableColumn>
    <tableColumn id="30" name="*17" totalsRowFunction="custom" dataDxfId="881" totalsRowDxfId="880">
      <totalsRowFormula>COUNTIF(ParticipationSeptembre162133[*17],"N1")+COUNTIF(ParticipationSeptembre162133[*17],"E")</totalsRowFormula>
    </tableColumn>
    <tableColumn id="31" name="*24" totalsRowFunction="custom" totalsRowDxfId="879">
      <totalsRowFormula>COUNTIF(ParticipationSeptembre162133[*24],"N1")+COUNTIF(ParticipationSeptembre162133[*24],"E")</totalsRowFormula>
    </tableColumn>
    <tableColumn id="32" name="30" totalsRowFunction="custom" totalsRowDxfId="878">
      <totalsRowFormula>COUNTIF(ParticipationSeptembre162133[30],"N1")+COUNTIF(ParticipationSeptembre162133[30],"E")</totalsRowFormula>
    </tableColumn>
    <tableColumn id="35" name="R" totalsRowFunction="sum" dataDxfId="877" totalsRowDxfId="876">
      <calculatedColumnFormula>COUNTIF(ParticipationSeptembre162133[[#This Row],[f. de nacimiento]:[30]],Code1)</calculatedColumnFormula>
    </tableColumn>
    <tableColumn id="34" name="E" totalsRowFunction="sum" dataDxfId="875" totalsRowDxfId="874">
      <calculatedColumnFormula>COUNTIF(ParticipationSeptembre162133[[#This Row],[f. de nacimiento]:[30]],Code2)</calculatedColumnFormula>
    </tableColumn>
    <tableColumn id="37" name="N1" totalsRowFunction="sum" dataDxfId="873" totalsRowDxfId="872">
      <calculatedColumnFormula>COUNTIF(ParticipationSeptembre162133[[#This Row],[f. de nacimiento]:[30]],Code3)</calculatedColumnFormula>
    </tableColumn>
    <tableColumn id="36" name="P" totalsRowFunction="sum" dataDxfId="871" totalsRowDxfId="870">
      <calculatedColumnFormula>COUNTIF(ParticipationSeptembre162133[[#This Row],[f. de nacimiento]:[30]],Code4)</calculatedColumnFormula>
    </tableColumn>
    <tableColumn id="33" name="Dias de ausencia" totalsRowDxfId="869">
      <calculatedColumnFormula>SUM(ParticipationSeptembre162133[[#This Row],[E]:[N1]])</calculatedColumnFormula>
    </tableColumn>
  </tableColumns>
  <tableStyleInfo name="Employee Absence Table" showFirstColumn="0" showLastColumn="1" showRowStripes="1" showColumnStripes="1"/>
  <extLst>
    <ext xmlns:x14="http://schemas.microsoft.com/office/spreadsheetml/2009/9/main" uri="{504A1905-F514-4f6f-8877-14C23A59335A}">
      <x14:table altText="Fiche de présence d’août" altTextSummary="Permet d’assurer le suivi de présence des élèves (R=en retard, E=excusé, N=non excusé, P=présent, N=école fermée) pour le mois de septembre."/>
    </ext>
  </extLst>
</table>
</file>

<file path=xl/tables/table3.xml><?xml version="1.0" encoding="utf-8"?>
<table xmlns="http://schemas.openxmlformats.org/spreadsheetml/2006/main" id="20" name="ParticipationSeptembre1621" displayName="ParticipationSeptembre1621" ref="B6:AM18" totalsRowCount="1" totalsRowDxfId="868">
  <tableColumns count="38">
    <tableColumn id="38" name="Nombre" dataDxfId="867" totalsRowDxfId="866"/>
    <tableColumn id="1" name="Apellido" totalsRowLabel="Jours d’absence (total)" dataDxfId="865" totalsRowDxfId="864"/>
    <tableColumn id="2" name="fecha de nacimiento" totalsRowFunction="custom" dataDxfId="863" totalsRowDxfId="862">
      <totalsRowFormula>COUNTIF(ParticipationSeptembre1621[fecha de nacimiento],"N1")+COUNTIF(ParticipationSeptembre1621[fecha de nacimiento],"E")</totalsRowFormula>
    </tableColumn>
    <tableColumn id="3" name="29" totalsRowFunction="custom" dataDxfId="861" totalsRowDxfId="860">
      <totalsRowFormula>COUNTIF(ParticipationSeptembre1621[29],"N1")+COUNTIF(ParticipationSeptembre1621[29],"E")</totalsRowFormula>
    </tableColumn>
    <tableColumn id="4" name="6" totalsRowFunction="custom" dataDxfId="859" totalsRowDxfId="858">
      <totalsRowFormula>COUNTIF(ParticipationSeptembre1621[6],"N1")+COUNTIF(ParticipationSeptembre1621[6],"E")</totalsRowFormula>
    </tableColumn>
    <tableColumn id="5" name="13" totalsRowFunction="custom" dataDxfId="857" totalsRowDxfId="856">
      <totalsRowFormula>COUNTIF(ParticipationSeptembre1621[13],"N1")+COUNTIF(ParticipationSeptembre1621[13],"E")</totalsRowFormula>
    </tableColumn>
    <tableColumn id="6" name="20" totalsRowFunction="custom" dataDxfId="855" totalsRowDxfId="854">
      <totalsRowFormula>COUNTIF(ParticipationSeptembre1621[20],"N1")+COUNTIF(ParticipationSeptembre1621[20],"E")</totalsRowFormula>
    </tableColumn>
    <tableColumn id="7" name="27" totalsRowFunction="custom" dataDxfId="853" totalsRowDxfId="852">
      <totalsRowFormula>COUNTIF(ParticipationSeptembre1621[27],"N1")+COUNTIF(ParticipationSeptembre1621[27],"E")</totalsRowFormula>
    </tableColumn>
    <tableColumn id="8" name="3" totalsRowFunction="custom" dataDxfId="851" totalsRowDxfId="850">
      <totalsRowFormula>COUNTIF(ParticipationSeptembre1621[3],"N1")+COUNTIF(ParticipationSeptembre1621[3],"E")</totalsRowFormula>
    </tableColumn>
    <tableColumn id="9" name="10" totalsRowFunction="custom" dataDxfId="849" totalsRowDxfId="848">
      <totalsRowFormula>COUNTIF(ParticipationSeptembre1621[10],"N1")+COUNTIF(ParticipationSeptembre1621[10],"E")</totalsRowFormula>
    </tableColumn>
    <tableColumn id="10" name="17" totalsRowFunction="custom" dataDxfId="847" totalsRowDxfId="846">
      <totalsRowFormula>COUNTIF(ParticipationSeptembre1621[17],"N1")+COUNTIF(ParticipationSeptembre1621[17],"E")</totalsRowFormula>
    </tableColumn>
    <tableColumn id="11" name="24" totalsRowFunction="custom" dataDxfId="845" totalsRowDxfId="844">
      <totalsRowFormula>COUNTIF(ParticipationSeptembre1621[24],"N1")+COUNTIF(ParticipationSeptembre1621[24],"E")</totalsRowFormula>
    </tableColumn>
    <tableColumn id="12" name="14" totalsRowFunction="custom" dataDxfId="843" totalsRowDxfId="842">
      <totalsRowFormula>COUNTIF(ParticipationSeptembre1621[14],"N1")+COUNTIF(ParticipationSeptembre1621[14],"E")</totalsRowFormula>
    </tableColumn>
    <tableColumn id="13" name="8" totalsRowFunction="custom" dataDxfId="841" totalsRowDxfId="840">
      <totalsRowFormula>COUNTIF(ParticipationSeptembre1621[8],"N1")+COUNTIF(ParticipationSeptembre1621[8],"E")</totalsRowFormula>
    </tableColumn>
    <tableColumn id="14" name="15" totalsRowFunction="custom" dataDxfId="839" totalsRowDxfId="838">
      <totalsRowFormula>COUNTIF(ParticipationSeptembre1621[15],"N1")+COUNTIF(ParticipationSeptembre1621[15],"E")</totalsRowFormula>
    </tableColumn>
    <tableColumn id="15" name="12" totalsRowFunction="custom" dataDxfId="837" totalsRowDxfId="836">
      <totalsRowFormula>COUNTIF(ParticipationSeptembre1621[12],"N1")+COUNTIF(ParticipationSeptembre1621[12],"E")</totalsRowFormula>
    </tableColumn>
    <tableColumn id="16" name="19" totalsRowFunction="custom" dataDxfId="835" totalsRowDxfId="834">
      <totalsRowFormula>COUNTIF(ParticipationSeptembre1621[19],"N1")+COUNTIF(ParticipationSeptembre1621[19],"E")</totalsRowFormula>
    </tableColumn>
    <tableColumn id="17" name="26" totalsRowFunction="custom" dataDxfId="833" totalsRowDxfId="832">
      <totalsRowFormula>COUNTIF(ParticipationSeptembre1621[26],"N1")+COUNTIF(ParticipationSeptembre1621[26],"E")</totalsRowFormula>
    </tableColumn>
    <tableColumn id="18" name="2" totalsRowFunction="custom" dataDxfId="831" totalsRowDxfId="830">
      <totalsRowFormula>COUNTIF(ParticipationSeptembre1621[2],"N1")+COUNTIF(ParticipationSeptembre1621[2],"E")</totalsRowFormula>
    </tableColumn>
    <tableColumn id="19" name="9" totalsRowFunction="custom" dataDxfId="829" totalsRowDxfId="828">
      <totalsRowFormula>COUNTIF(ParticipationSeptembre1621[9],"N1")+COUNTIF(ParticipationSeptembre1621[9],"E")</totalsRowFormula>
    </tableColumn>
    <tableColumn id="20" name="16" totalsRowFunction="custom" dataDxfId="827" totalsRowDxfId="826">
      <totalsRowFormula>COUNTIF(ParticipationSeptembre1621[16],"N1")+COUNTIF(ParticipationSeptembre1621[16],"E")</totalsRowFormula>
    </tableColumn>
    <tableColumn id="21" name="23" totalsRowFunction="custom" dataDxfId="825" totalsRowDxfId="824">
      <totalsRowFormula>COUNTIF(ParticipationSeptembre1621[23],"N1")+COUNTIF(ParticipationSeptembre1621[23],"E")</totalsRowFormula>
    </tableColumn>
    <tableColumn id="22" name="*8" totalsRowFunction="custom" dataDxfId="823" totalsRowDxfId="822">
      <totalsRowFormula>COUNTIF(ParticipationSeptembre1621[*8],"N1")+COUNTIF(ParticipationSeptembre1621[*8],"E")</totalsRowFormula>
    </tableColumn>
    <tableColumn id="23" name="*15" totalsRowFunction="custom" dataDxfId="821" totalsRowDxfId="820">
      <totalsRowFormula>COUNTIF(ParticipationSeptembre1621[*15],"N1")+COUNTIF(ParticipationSeptembre1621[*15],"E")</totalsRowFormula>
    </tableColumn>
    <tableColumn id="24" name="22" totalsRowFunction="custom" dataDxfId="819" totalsRowDxfId="818">
      <totalsRowFormula>COUNTIF(ParticipationSeptembre1621[22],"N1")+COUNTIF(ParticipationSeptembre1621[22],"E")</totalsRowFormula>
    </tableColumn>
    <tableColumn id="25" name="*29" totalsRowFunction="custom" dataDxfId="817" totalsRowDxfId="816">
      <totalsRowFormula>COUNTIF(ParticipationSeptembre1621[*29],"N1")+COUNTIF(ParticipationSeptembre1621[*29],"E")</totalsRowFormula>
    </tableColumn>
    <tableColumn id="26" name="*19" totalsRowFunction="custom" dataDxfId="815" totalsRowDxfId="814">
      <totalsRowFormula>COUNTIF(ParticipationSeptembre1621[*19],"N1")+COUNTIF(ParticipationSeptembre1621[*19],"E")</totalsRowFormula>
    </tableColumn>
    <tableColumn id="27" name="*26" totalsRowFunction="custom" dataDxfId="813" totalsRowDxfId="812">
      <totalsRowFormula>COUNTIF(ParticipationSeptembre1621[*26],"N1")+COUNTIF(ParticipationSeptembre1621[*26],"E")</totalsRowFormula>
    </tableColumn>
    <tableColumn id="28" name="*3" totalsRowFunction="custom" dataDxfId="811" totalsRowDxfId="810">
      <totalsRowFormula>COUNTIF(ParticipationSeptembre1621[*3],"N1")+COUNTIF(ParticipationSeptembre1621[*3],"E")</totalsRowFormula>
    </tableColumn>
    <tableColumn id="29" name="*10" totalsRowFunction="custom" dataDxfId="809" totalsRowDxfId="808">
      <totalsRowFormula>COUNTIF(ParticipationSeptembre1621[*10],"N1")+COUNTIF(ParticipationSeptembre1621[*10],"E")</totalsRowFormula>
    </tableColumn>
    <tableColumn id="30" name="*17" totalsRowFunction="custom" dataDxfId="807" totalsRowDxfId="806">
      <totalsRowFormula>COUNTIF(ParticipationSeptembre1621[*17],"N1")+COUNTIF(ParticipationSeptembre1621[*17],"E")</totalsRowFormula>
    </tableColumn>
    <tableColumn id="31" name="*24" totalsRowFunction="custom" totalsRowDxfId="805">
      <totalsRowFormula>COUNTIF(ParticipationSeptembre1621[*24],"N1")+COUNTIF(ParticipationSeptembre1621[*24],"E")</totalsRowFormula>
    </tableColumn>
    <tableColumn id="32" name="30" totalsRowFunction="custom" totalsRowDxfId="804">
      <totalsRowFormula>COUNTIF(ParticipationSeptembre1621[30],"N1")+COUNTIF(ParticipationSeptembre1621[30],"E")</totalsRowFormula>
    </tableColumn>
    <tableColumn id="35" name="R" totalsRowFunction="sum" dataDxfId="803" totalsRowDxfId="802">
      <calculatedColumnFormula>COUNTIF(ParticipationSeptembre1621[[#This Row],[fecha de nacimiento]:[30]],Code1)</calculatedColumnFormula>
    </tableColumn>
    <tableColumn id="34" name="E" totalsRowFunction="sum" dataDxfId="801" totalsRowDxfId="800">
      <calculatedColumnFormula>COUNTIF(ParticipationSeptembre1621[[#This Row],[fecha de nacimiento]:[30]],Code2)</calculatedColumnFormula>
    </tableColumn>
    <tableColumn id="37" name="N1" totalsRowFunction="sum" dataDxfId="799" totalsRowDxfId="798">
      <calculatedColumnFormula>COUNTIF(ParticipationSeptembre1621[[#This Row],[fecha de nacimiento]:[30]],Code3)</calculatedColumnFormula>
    </tableColumn>
    <tableColumn id="36" name="P" totalsRowFunction="sum" dataDxfId="797" totalsRowDxfId="796">
      <calculatedColumnFormula>COUNTIF(ParticipationSeptembre1621[[#This Row],[fecha de nacimiento]:[30]],Code4)</calculatedColumnFormula>
    </tableColumn>
    <tableColumn id="33" name="Dias de ausencia" totalsRowDxfId="795">
      <calculatedColumnFormula>SUM(ParticipationSeptembre1621[[#This Row],[E]:[N1]])</calculatedColumnFormula>
    </tableColumn>
  </tableColumns>
  <tableStyleInfo name="Employee Absence Table" showFirstColumn="0" showLastColumn="1" showRowStripes="1" showColumnStripes="1"/>
  <extLst>
    <ext xmlns:x14="http://schemas.microsoft.com/office/spreadsheetml/2009/9/main" uri="{504A1905-F514-4f6f-8877-14C23A59335A}">
      <x14:table altText="Fiche de présence d’août" altTextSummary="Permet d’assurer le suivi de présence des élèves (R=en retard, E=excusé, N=non excusé, P=présent, N=école fermée) pour le mois de septembre."/>
    </ext>
  </extLst>
</table>
</file>

<file path=xl/tables/table4.xml><?xml version="1.0" encoding="utf-8"?>
<table xmlns="http://schemas.openxmlformats.org/spreadsheetml/2006/main" id="15" name="ParticipationSeptembre16" displayName="ParticipationSeptembre16" ref="B6:AM18" totalsRowCount="1" totalsRowDxfId="794">
  <tableColumns count="38">
    <tableColumn id="38" name="Nombre" dataDxfId="793" totalsRowDxfId="792"/>
    <tableColumn id="1" name="Apellido" totalsRowLabel="Jours d’absence (total)" dataDxfId="791" totalsRowDxfId="790"/>
    <tableColumn id="2" name="f. de nacimiento" totalsRowFunction="custom" dataDxfId="789" totalsRowDxfId="788">
      <totalsRowFormula>COUNTIF(ParticipationSeptembre16[f. de nacimiento],"N1")+COUNTIF(ParticipationSeptembre16[f. de nacimiento],"E")</totalsRowFormula>
    </tableColumn>
    <tableColumn id="3" name="29" totalsRowFunction="custom" dataDxfId="787" totalsRowDxfId="786">
      <totalsRowFormula>COUNTIF(ParticipationSeptembre16[29],"N1")+COUNTIF(ParticipationSeptembre16[29],"E")</totalsRowFormula>
    </tableColumn>
    <tableColumn id="4" name="6" totalsRowFunction="custom" dataDxfId="785" totalsRowDxfId="784">
      <totalsRowFormula>COUNTIF(ParticipationSeptembre16[6],"N1")+COUNTIF(ParticipationSeptembre16[6],"E")</totalsRowFormula>
    </tableColumn>
    <tableColumn id="5" name="13" totalsRowFunction="custom" dataDxfId="783" totalsRowDxfId="782">
      <totalsRowFormula>COUNTIF(ParticipationSeptembre16[13],"N1")+COUNTIF(ParticipationSeptembre16[13],"E")</totalsRowFormula>
    </tableColumn>
    <tableColumn id="6" name="20" totalsRowFunction="custom" dataDxfId="781" totalsRowDxfId="780">
      <totalsRowFormula>COUNTIF(ParticipationSeptembre16[20],"N1")+COUNTIF(ParticipationSeptembre16[20],"E")</totalsRowFormula>
    </tableColumn>
    <tableColumn id="7" name="27" totalsRowFunction="custom" dataDxfId="779" totalsRowDxfId="778">
      <totalsRowFormula>COUNTIF(ParticipationSeptembre16[27],"N1")+COUNTIF(ParticipationSeptembre16[27],"E")</totalsRowFormula>
    </tableColumn>
    <tableColumn id="8" name="3" totalsRowFunction="custom" dataDxfId="777" totalsRowDxfId="776">
      <totalsRowFormula>COUNTIF(ParticipationSeptembre16[3],"N1")+COUNTIF(ParticipationSeptembre16[3],"E")</totalsRowFormula>
    </tableColumn>
    <tableColumn id="9" name="10" totalsRowFunction="custom" dataDxfId="775" totalsRowDxfId="774">
      <totalsRowFormula>COUNTIF(ParticipationSeptembre16[10],"N1")+COUNTIF(ParticipationSeptembre16[10],"E")</totalsRowFormula>
    </tableColumn>
    <tableColumn id="10" name="17" totalsRowFunction="custom" dataDxfId="773" totalsRowDxfId="772">
      <totalsRowFormula>COUNTIF(ParticipationSeptembre16[17],"N1")+COUNTIF(ParticipationSeptembre16[17],"E")</totalsRowFormula>
    </tableColumn>
    <tableColumn id="11" name="24" totalsRowFunction="custom" dataDxfId="771" totalsRowDxfId="770">
      <totalsRowFormula>COUNTIF(ParticipationSeptembre16[24],"N1")+COUNTIF(ParticipationSeptembre16[24],"E")</totalsRowFormula>
    </tableColumn>
    <tableColumn id="12" name="14" totalsRowFunction="custom" dataDxfId="769" totalsRowDxfId="768">
      <totalsRowFormula>COUNTIF(ParticipationSeptembre16[14],"N1")+COUNTIF(ParticipationSeptembre16[14],"E")</totalsRowFormula>
    </tableColumn>
    <tableColumn id="13" name="8" totalsRowFunction="custom" dataDxfId="767" totalsRowDxfId="766">
      <totalsRowFormula>COUNTIF(ParticipationSeptembre16[8],"N1")+COUNTIF(ParticipationSeptembre16[8],"E")</totalsRowFormula>
    </tableColumn>
    <tableColumn id="14" name="15" totalsRowFunction="custom" dataDxfId="765" totalsRowDxfId="764">
      <totalsRowFormula>COUNTIF(ParticipationSeptembre16[15],"N1")+COUNTIF(ParticipationSeptembre16[15],"E")</totalsRowFormula>
    </tableColumn>
    <tableColumn id="15" name="12" totalsRowFunction="custom" dataDxfId="763" totalsRowDxfId="762">
      <totalsRowFormula>COUNTIF(ParticipationSeptembre16[12],"N1")+COUNTIF(ParticipationSeptembre16[12],"E")</totalsRowFormula>
    </tableColumn>
    <tableColumn id="16" name="19" totalsRowFunction="custom" dataDxfId="761" totalsRowDxfId="760">
      <totalsRowFormula>COUNTIF(ParticipationSeptembre16[19],"N1")+COUNTIF(ParticipationSeptembre16[19],"E")</totalsRowFormula>
    </tableColumn>
    <tableColumn id="17" name="26" totalsRowFunction="custom" dataDxfId="759" totalsRowDxfId="758">
      <totalsRowFormula>COUNTIF(ParticipationSeptembre16[26],"N1")+COUNTIF(ParticipationSeptembre16[26],"E")</totalsRowFormula>
    </tableColumn>
    <tableColumn id="18" name="2" totalsRowFunction="custom" dataDxfId="757" totalsRowDxfId="756">
      <totalsRowFormula>COUNTIF(ParticipationSeptembre16[2],"N1")+COUNTIF(ParticipationSeptembre16[2],"E")</totalsRowFormula>
    </tableColumn>
    <tableColumn id="19" name="9" totalsRowFunction="custom" dataDxfId="755" totalsRowDxfId="754">
      <totalsRowFormula>COUNTIF(ParticipationSeptembre16[9],"N1")+COUNTIF(ParticipationSeptembre16[9],"E")</totalsRowFormula>
    </tableColumn>
    <tableColumn id="20" name="16" totalsRowFunction="custom" dataDxfId="753" totalsRowDxfId="752">
      <totalsRowFormula>COUNTIF(ParticipationSeptembre16[16],"N1")+COUNTIF(ParticipationSeptembre16[16],"E")</totalsRowFormula>
    </tableColumn>
    <tableColumn id="21" name="23" totalsRowFunction="custom" dataDxfId="751" totalsRowDxfId="750">
      <totalsRowFormula>COUNTIF(ParticipationSeptembre16[23],"N1")+COUNTIF(ParticipationSeptembre16[23],"E")</totalsRowFormula>
    </tableColumn>
    <tableColumn id="22" name="*8" totalsRowFunction="custom" dataDxfId="749" totalsRowDxfId="748">
      <totalsRowFormula>COUNTIF(ParticipationSeptembre16[*8],"N1")+COUNTIF(ParticipationSeptembre16[*8],"E")</totalsRowFormula>
    </tableColumn>
    <tableColumn id="23" name="*15" totalsRowFunction="custom" dataDxfId="747" totalsRowDxfId="746">
      <totalsRowFormula>COUNTIF(ParticipationSeptembre16[*15],"N1")+COUNTIF(ParticipationSeptembre16[*15],"E")</totalsRowFormula>
    </tableColumn>
    <tableColumn id="24" name="22" totalsRowFunction="custom" dataDxfId="745" totalsRowDxfId="744">
      <totalsRowFormula>COUNTIF(ParticipationSeptembre16[22],"N1")+COUNTIF(ParticipationSeptembre16[22],"E")</totalsRowFormula>
    </tableColumn>
    <tableColumn id="25" name="*29" totalsRowFunction="custom" dataDxfId="743" totalsRowDxfId="742">
      <totalsRowFormula>COUNTIF(ParticipationSeptembre16[*29],"N1")+COUNTIF(ParticipationSeptembre16[*29],"E")</totalsRowFormula>
    </tableColumn>
    <tableColumn id="26" name="*19" totalsRowFunction="custom" dataDxfId="741" totalsRowDxfId="740">
      <totalsRowFormula>COUNTIF(ParticipationSeptembre16[*19],"N1")+COUNTIF(ParticipationSeptembre16[*19],"E")</totalsRowFormula>
    </tableColumn>
    <tableColumn id="27" name="*26" totalsRowFunction="custom" dataDxfId="739" totalsRowDxfId="738">
      <totalsRowFormula>COUNTIF(ParticipationSeptembre16[*26],"N1")+COUNTIF(ParticipationSeptembre16[*26],"E")</totalsRowFormula>
    </tableColumn>
    <tableColumn id="28" name="*3" totalsRowFunction="custom" dataDxfId="737" totalsRowDxfId="736">
      <totalsRowFormula>COUNTIF(ParticipationSeptembre16[*3],"N1")+COUNTIF(ParticipationSeptembre16[*3],"E")</totalsRowFormula>
    </tableColumn>
    <tableColumn id="29" name="*10" totalsRowFunction="custom" dataDxfId="735" totalsRowDxfId="734">
      <totalsRowFormula>COUNTIF(ParticipationSeptembre16[*10],"N1")+COUNTIF(ParticipationSeptembre16[*10],"E")</totalsRowFormula>
    </tableColumn>
    <tableColumn id="30" name="*17" totalsRowFunction="custom" dataDxfId="733" totalsRowDxfId="732">
      <totalsRowFormula>COUNTIF(ParticipationSeptembre16[*17],"N1")+COUNTIF(ParticipationSeptembre16[*17],"E")</totalsRowFormula>
    </tableColumn>
    <tableColumn id="31" name="*24" totalsRowFunction="custom" totalsRowDxfId="731">
      <totalsRowFormula>COUNTIF(ParticipationSeptembre16[*24],"N1")+COUNTIF(ParticipationSeptembre16[*24],"E")</totalsRowFormula>
    </tableColumn>
    <tableColumn id="32" name="30" totalsRowFunction="custom" totalsRowDxfId="730">
      <totalsRowFormula>COUNTIF(ParticipationSeptembre16[30],"N1")+COUNTIF(ParticipationSeptembre16[30],"E")</totalsRowFormula>
    </tableColumn>
    <tableColumn id="35" name="R" totalsRowFunction="sum" dataDxfId="729" totalsRowDxfId="728">
      <calculatedColumnFormula>COUNTIF(ParticipationSeptembre16[[#This Row],[f. de nacimiento]:[30]],Code1)</calculatedColumnFormula>
    </tableColumn>
    <tableColumn id="34" name="E" totalsRowFunction="sum" dataDxfId="727" totalsRowDxfId="726">
      <calculatedColumnFormula>COUNTIF(ParticipationSeptembre16[[#This Row],[f. de nacimiento]:[30]],Code2)</calculatedColumnFormula>
    </tableColumn>
    <tableColumn id="37" name="N1" totalsRowFunction="sum" dataDxfId="725" totalsRowDxfId="724">
      <calculatedColumnFormula>COUNTIF(ParticipationSeptembre16[[#This Row],[f. de nacimiento]:[30]],Code3)</calculatedColumnFormula>
    </tableColumn>
    <tableColumn id="36" name="P" totalsRowFunction="sum" dataDxfId="723" totalsRowDxfId="722">
      <calculatedColumnFormula>COUNTIF(ParticipationSeptembre16[[#This Row],[f. de nacimiento]:[30]],Code4)</calculatedColumnFormula>
    </tableColumn>
    <tableColumn id="33" name="Dias de ausencia" totalsRowDxfId="721">
      <calculatedColumnFormula>SUM(ParticipationSeptembre16[[#This Row],[E]:[N1]])</calculatedColumnFormula>
    </tableColumn>
  </tableColumns>
  <tableStyleInfo name="Employee Absence Table" showFirstColumn="0" showLastColumn="1" showRowStripes="1" showColumnStripes="1"/>
  <extLst>
    <ext xmlns:x14="http://schemas.microsoft.com/office/spreadsheetml/2009/9/main" uri="{504A1905-F514-4f6f-8877-14C23A59335A}">
      <x14:table altText="Fiche de présence d’août" altTextSummary="Permet d’assurer le suivi de présence des élèves (R=en retard, E=excusé, N=non excusé, P=présent, N=école fermée) pour le mois de septembre."/>
    </ext>
  </extLst>
</table>
</file>

<file path=xl/tables/table5.xml><?xml version="1.0" encoding="utf-8"?>
<table xmlns="http://schemas.openxmlformats.org/spreadsheetml/2006/main" id="27" name="ParticipationSeptembre162122232428" displayName="ParticipationSeptembre162122232428" ref="B6:AM18" totalsRowCount="1" totalsRowDxfId="720">
  <tableColumns count="38">
    <tableColumn id="38" name="Nombre" dataDxfId="719" totalsRowDxfId="37"/>
    <tableColumn id="1" name="Apellido" totalsRowLabel="Jours d’absence (total)" dataDxfId="718" totalsRowDxfId="36"/>
    <tableColumn id="2" name="fecha de nacimiento" totalsRowFunction="custom" dataDxfId="717" totalsRowDxfId="35">
      <totalsRowFormula>COUNTIF(ParticipationSeptembre162122232428[fecha de nacimiento],"N1")+COUNTIF(ParticipationSeptembre162122232428[fecha de nacimiento],"E")</totalsRowFormula>
    </tableColumn>
    <tableColumn id="3" name="29" totalsRowFunction="custom" dataDxfId="716" totalsRowDxfId="34">
      <totalsRowFormula>COUNTIF(ParticipationSeptembre162122232428[29],"N1")+COUNTIF(ParticipationSeptembre162122232428[29],"E")</totalsRowFormula>
    </tableColumn>
    <tableColumn id="4" name="6" totalsRowFunction="custom" dataDxfId="715" totalsRowDxfId="33">
      <totalsRowFormula>COUNTIF(ParticipationSeptembre162122232428[6],"N1")+COUNTIF(ParticipationSeptembre162122232428[6],"E")</totalsRowFormula>
    </tableColumn>
    <tableColumn id="5" name="13" totalsRowFunction="custom" dataDxfId="714" totalsRowDxfId="32">
      <totalsRowFormula>COUNTIF(ParticipationSeptembre162122232428[13],"N1")+COUNTIF(ParticipationSeptembre162122232428[13],"E")</totalsRowFormula>
    </tableColumn>
    <tableColumn id="6" name="20" totalsRowFunction="custom" dataDxfId="713" totalsRowDxfId="31">
      <totalsRowFormula>COUNTIF(ParticipationSeptembre162122232428[20],"N1")+COUNTIF(ParticipationSeptembre162122232428[20],"E")</totalsRowFormula>
    </tableColumn>
    <tableColumn id="7" name="27" totalsRowFunction="custom" dataDxfId="712" totalsRowDxfId="30">
      <totalsRowFormula>COUNTIF(ParticipationSeptembre162122232428[27],"N1")+COUNTIF(ParticipationSeptembre162122232428[27],"E")</totalsRowFormula>
    </tableColumn>
    <tableColumn id="8" name="3" totalsRowFunction="custom" dataDxfId="711" totalsRowDxfId="29">
      <totalsRowFormula>COUNTIF(ParticipationSeptembre162122232428[3],"N1")+COUNTIF(ParticipationSeptembre162122232428[3],"E")</totalsRowFormula>
    </tableColumn>
    <tableColumn id="9" name="10" totalsRowFunction="custom" dataDxfId="710" totalsRowDxfId="28">
      <totalsRowFormula>COUNTIF(ParticipationSeptembre162122232428[10],"N1")+COUNTIF(ParticipationSeptembre162122232428[10],"E")</totalsRowFormula>
    </tableColumn>
    <tableColumn id="10" name="17" totalsRowFunction="custom" dataDxfId="709" totalsRowDxfId="27">
      <totalsRowFormula>COUNTIF(ParticipationSeptembre162122232428[17],"N1")+COUNTIF(ParticipationSeptembre162122232428[17],"E")</totalsRowFormula>
    </tableColumn>
    <tableColumn id="11" name="24" totalsRowFunction="custom" dataDxfId="708" totalsRowDxfId="26">
      <totalsRowFormula>COUNTIF(ParticipationSeptembre162122232428[24],"N1")+COUNTIF(ParticipationSeptembre162122232428[24],"E")</totalsRowFormula>
    </tableColumn>
    <tableColumn id="12" name="14" totalsRowFunction="custom" dataDxfId="707" totalsRowDxfId="25">
      <totalsRowFormula>COUNTIF(ParticipationSeptembre162122232428[14],"N1")+COUNTIF(ParticipationSeptembre162122232428[14],"E")</totalsRowFormula>
    </tableColumn>
    <tableColumn id="13" name="8" totalsRowFunction="custom" dataDxfId="706" totalsRowDxfId="24">
      <totalsRowFormula>COUNTIF(ParticipationSeptembre162122232428[8],"N1")+COUNTIF(ParticipationSeptembre162122232428[8],"E")</totalsRowFormula>
    </tableColumn>
    <tableColumn id="14" name="15" totalsRowFunction="custom" dataDxfId="705" totalsRowDxfId="23">
      <totalsRowFormula>COUNTIF(ParticipationSeptembre162122232428[15],"N1")+COUNTIF(ParticipationSeptembre162122232428[15],"E")</totalsRowFormula>
    </tableColumn>
    <tableColumn id="15" name="12" totalsRowFunction="custom" dataDxfId="704" totalsRowDxfId="22">
      <totalsRowFormula>COUNTIF(ParticipationSeptembre162122232428[12],"N1")+COUNTIF(ParticipationSeptembre162122232428[12],"E")</totalsRowFormula>
    </tableColumn>
    <tableColumn id="16" name="19" totalsRowFunction="custom" dataDxfId="703" totalsRowDxfId="21">
      <totalsRowFormula>COUNTIF(ParticipationSeptembre162122232428[19],"N1")+COUNTIF(ParticipationSeptembre162122232428[19],"E")</totalsRowFormula>
    </tableColumn>
    <tableColumn id="17" name="26" totalsRowFunction="custom" dataDxfId="702" totalsRowDxfId="20">
      <totalsRowFormula>COUNTIF(ParticipationSeptembre162122232428[26],"N1")+COUNTIF(ParticipationSeptembre162122232428[26],"E")</totalsRowFormula>
    </tableColumn>
    <tableColumn id="18" name="2" totalsRowFunction="custom" dataDxfId="701" totalsRowDxfId="19">
      <totalsRowFormula>COUNTIF(ParticipationSeptembre162122232428[2],"N1")+COUNTIF(ParticipationSeptembre162122232428[2],"E")</totalsRowFormula>
    </tableColumn>
    <tableColumn id="19" name="9" totalsRowFunction="custom" dataDxfId="700" totalsRowDxfId="18">
      <totalsRowFormula>COUNTIF(ParticipationSeptembre162122232428[9],"N1")+COUNTIF(ParticipationSeptembre162122232428[9],"E")</totalsRowFormula>
    </tableColumn>
    <tableColumn id="20" name="16" totalsRowFunction="custom" dataDxfId="699" totalsRowDxfId="17">
      <totalsRowFormula>COUNTIF(ParticipationSeptembre162122232428[16],"N1")+COUNTIF(ParticipationSeptembre162122232428[16],"E")</totalsRowFormula>
    </tableColumn>
    <tableColumn id="21" name="23" totalsRowFunction="custom" dataDxfId="698" totalsRowDxfId="16">
      <totalsRowFormula>COUNTIF(ParticipationSeptembre162122232428[23],"N1")+COUNTIF(ParticipationSeptembre162122232428[23],"E")</totalsRowFormula>
    </tableColumn>
    <tableColumn id="22" name="*8" totalsRowFunction="custom" dataDxfId="697" totalsRowDxfId="15">
      <totalsRowFormula>COUNTIF(ParticipationSeptembre162122232428[*8],"N1")+COUNTIF(ParticipationSeptembre162122232428[*8],"E")</totalsRowFormula>
    </tableColumn>
    <tableColumn id="23" name="*15" totalsRowFunction="custom" dataDxfId="696" totalsRowDxfId="14">
      <totalsRowFormula>COUNTIF(ParticipationSeptembre162122232428[*15],"N1")+COUNTIF(ParticipationSeptembre162122232428[*15],"E")</totalsRowFormula>
    </tableColumn>
    <tableColumn id="24" name="22" totalsRowFunction="custom" dataDxfId="695" totalsRowDxfId="13">
      <totalsRowFormula>COUNTIF(ParticipationSeptembre162122232428[22],"N1")+COUNTIF(ParticipationSeptembre162122232428[22],"E")</totalsRowFormula>
    </tableColumn>
    <tableColumn id="25" name="*29" totalsRowFunction="custom" dataDxfId="694" totalsRowDxfId="12">
      <totalsRowFormula>COUNTIF(ParticipationSeptembre162122232428[*29],"N1")+COUNTIF(ParticipationSeptembre162122232428[*29],"E")</totalsRowFormula>
    </tableColumn>
    <tableColumn id="26" name="*19" totalsRowFunction="custom" dataDxfId="693" totalsRowDxfId="11">
      <totalsRowFormula>COUNTIF(ParticipationSeptembre162122232428[*19],"N1")+COUNTIF(ParticipationSeptembre162122232428[*19],"E")</totalsRowFormula>
    </tableColumn>
    <tableColumn id="27" name="*26" totalsRowFunction="custom" dataDxfId="692" totalsRowDxfId="10">
      <totalsRowFormula>COUNTIF(ParticipationSeptembre162122232428[*26],"N1")+COUNTIF(ParticipationSeptembre162122232428[*26],"E")</totalsRowFormula>
    </tableColumn>
    <tableColumn id="28" name="*3" totalsRowFunction="custom" dataDxfId="691" totalsRowDxfId="9">
      <totalsRowFormula>COUNTIF(ParticipationSeptembre162122232428[*3],"N1")+COUNTIF(ParticipationSeptembre162122232428[*3],"E")</totalsRowFormula>
    </tableColumn>
    <tableColumn id="29" name="*10" totalsRowFunction="custom" dataDxfId="690" totalsRowDxfId="8">
      <totalsRowFormula>COUNTIF(ParticipationSeptembre162122232428[*10],"N1")+COUNTIF(ParticipationSeptembre162122232428[*10],"E")</totalsRowFormula>
    </tableColumn>
    <tableColumn id="30" name="*17" totalsRowFunction="custom" dataDxfId="689" totalsRowDxfId="7">
      <totalsRowFormula>COUNTIF(ParticipationSeptembre162122232428[*17],"N1")+COUNTIF(ParticipationSeptembre162122232428[*17],"E")</totalsRowFormula>
    </tableColumn>
    <tableColumn id="31" name="*24" totalsRowFunction="custom" totalsRowDxfId="6">
      <totalsRowFormula>COUNTIF(ParticipationSeptembre162122232428[*24],"N1")+COUNTIF(ParticipationSeptembre162122232428[*24],"E")</totalsRowFormula>
    </tableColumn>
    <tableColumn id="32" name="30" totalsRowFunction="custom" totalsRowDxfId="5">
      <totalsRowFormula>COUNTIF(ParticipationSeptembre162122232428[30],"N1")+COUNTIF(ParticipationSeptembre162122232428[30],"E")</totalsRowFormula>
    </tableColumn>
    <tableColumn id="35" name="R" totalsRowFunction="sum" dataDxfId="688" totalsRowDxfId="4">
      <calculatedColumnFormula>COUNTIF(ParticipationSeptembre162122232428[[#This Row],[fecha de nacimiento]:[30]],Code1)</calculatedColumnFormula>
    </tableColumn>
    <tableColumn id="34" name="E" totalsRowFunction="sum" dataDxfId="687" totalsRowDxfId="3">
      <calculatedColumnFormula>COUNTIF(ParticipationSeptembre162122232428[[#This Row],[fecha de nacimiento]:[30]],Code2)</calculatedColumnFormula>
    </tableColumn>
    <tableColumn id="37" name="N1" totalsRowFunction="sum" dataDxfId="686" totalsRowDxfId="2">
      <calculatedColumnFormula>COUNTIF(ParticipationSeptembre162122232428[[#This Row],[fecha de nacimiento]:[30]],Code3)</calculatedColumnFormula>
    </tableColumn>
    <tableColumn id="36" name="P" totalsRowFunction="sum" dataDxfId="685" totalsRowDxfId="1">
      <calculatedColumnFormula>COUNTIF(ParticipationSeptembre162122232428[[#This Row],[fecha de nacimiento]:[30]],Code4)</calculatedColumnFormula>
    </tableColumn>
    <tableColumn id="33" name="Dias de ausencia" totalsRowDxfId="0">
      <calculatedColumnFormula>SUM(ParticipationSeptembre162122232428[[#This Row],[E]:[N1]])</calculatedColumnFormula>
    </tableColumn>
  </tableColumns>
  <tableStyleInfo name="Employee Absence Table" showFirstColumn="0" showLastColumn="1" showRowStripes="1" showColumnStripes="1"/>
  <extLst>
    <ext xmlns:x14="http://schemas.microsoft.com/office/spreadsheetml/2009/9/main" uri="{504A1905-F514-4f6f-8877-14C23A59335A}">
      <x14:table altText="Fiche de présence d’août" altTextSummary="Permet d’assurer le suivi de présence des élèves (R=en retard, E=excusé, N=non excusé, P=présent, N=école fermée) pour le mois de septembre."/>
    </ext>
  </extLst>
</table>
</file>

<file path=xl/tables/table6.xml><?xml version="1.0" encoding="utf-8"?>
<table xmlns="http://schemas.openxmlformats.org/spreadsheetml/2006/main" id="29" name="ParticipationSeptembre16212223242830" displayName="ParticipationSeptembre16212223242830" ref="B6:AM20" totalsRowCount="1" totalsRowDxfId="684">
  <tableColumns count="38">
    <tableColumn id="38" name="Nombre" dataDxfId="683" totalsRowDxfId="682"/>
    <tableColumn id="1" name="Apellido" totalsRowLabel="Jours d’absence (total)" dataDxfId="681" totalsRowDxfId="680"/>
    <tableColumn id="2" name="fecha de nacimiento" totalsRowFunction="custom" dataDxfId="679" totalsRowDxfId="678">
      <totalsRowFormula>COUNTIF(ParticipationSeptembre16212223242830[fecha de nacimiento],"N1")+COUNTIF(ParticipationSeptembre16212223242830[fecha de nacimiento],"E")</totalsRowFormula>
    </tableColumn>
    <tableColumn id="3" name="29" totalsRowFunction="custom" dataDxfId="677" totalsRowDxfId="676">
      <totalsRowFormula>COUNTIF(ParticipationSeptembre16212223242830[29],"N1")+COUNTIF(ParticipationSeptembre16212223242830[29],"E")</totalsRowFormula>
    </tableColumn>
    <tableColumn id="4" name="6" totalsRowFunction="custom" dataDxfId="675" totalsRowDxfId="674">
      <totalsRowFormula>COUNTIF(ParticipationSeptembre16212223242830[6],"N1")+COUNTIF(ParticipationSeptembre16212223242830[6],"E")</totalsRowFormula>
    </tableColumn>
    <tableColumn id="5" name="13" totalsRowFunction="custom" dataDxfId="673" totalsRowDxfId="672">
      <totalsRowFormula>COUNTIF(ParticipationSeptembre16212223242830[13],"N1")+COUNTIF(ParticipationSeptembre16212223242830[13],"E")</totalsRowFormula>
    </tableColumn>
    <tableColumn id="6" name="20" totalsRowFunction="custom" dataDxfId="671" totalsRowDxfId="670">
      <totalsRowFormula>COUNTIF(ParticipationSeptembre16212223242830[20],"N1")+COUNTIF(ParticipationSeptembre16212223242830[20],"E")</totalsRowFormula>
    </tableColumn>
    <tableColumn id="7" name="27" totalsRowFunction="custom" dataDxfId="669" totalsRowDxfId="668">
      <totalsRowFormula>COUNTIF(ParticipationSeptembre16212223242830[27],"N1")+COUNTIF(ParticipationSeptembre16212223242830[27],"E")</totalsRowFormula>
    </tableColumn>
    <tableColumn id="8" name="3" totalsRowFunction="custom" dataDxfId="667" totalsRowDxfId="666">
      <totalsRowFormula>COUNTIF(ParticipationSeptembre16212223242830[3],"N1")+COUNTIF(ParticipationSeptembre16212223242830[3],"E")</totalsRowFormula>
    </tableColumn>
    <tableColumn id="9" name="10" totalsRowFunction="custom" dataDxfId="665" totalsRowDxfId="664">
      <totalsRowFormula>COUNTIF(ParticipationSeptembre16212223242830[10],"N1")+COUNTIF(ParticipationSeptembre16212223242830[10],"E")</totalsRowFormula>
    </tableColumn>
    <tableColumn id="10" name="17" totalsRowFunction="custom" dataDxfId="663" totalsRowDxfId="662">
      <totalsRowFormula>COUNTIF(ParticipationSeptembre16212223242830[17],"N1")+COUNTIF(ParticipationSeptembre16212223242830[17],"E")</totalsRowFormula>
    </tableColumn>
    <tableColumn id="11" name="24" totalsRowFunction="custom" dataDxfId="661" totalsRowDxfId="660">
      <totalsRowFormula>COUNTIF(ParticipationSeptembre16212223242830[24],"N1")+COUNTIF(ParticipationSeptembre16212223242830[24],"E")</totalsRowFormula>
    </tableColumn>
    <tableColumn id="12" name="14" totalsRowFunction="custom" dataDxfId="659" totalsRowDxfId="658">
      <totalsRowFormula>COUNTIF(ParticipationSeptembre16212223242830[14],"N1")+COUNTIF(ParticipationSeptembre16212223242830[14],"E")</totalsRowFormula>
    </tableColumn>
    <tableColumn id="13" name="8" totalsRowFunction="custom" dataDxfId="657" totalsRowDxfId="656">
      <totalsRowFormula>COUNTIF(ParticipationSeptembre16212223242830[8],"N1")+COUNTIF(ParticipationSeptembre16212223242830[8],"E")</totalsRowFormula>
    </tableColumn>
    <tableColumn id="14" name="15" totalsRowFunction="custom" dataDxfId="655" totalsRowDxfId="654">
      <totalsRowFormula>COUNTIF(ParticipationSeptembre16212223242830[15],"N1")+COUNTIF(ParticipationSeptembre16212223242830[15],"E")</totalsRowFormula>
    </tableColumn>
    <tableColumn id="15" name="12" totalsRowFunction="custom" dataDxfId="653" totalsRowDxfId="652">
      <totalsRowFormula>COUNTIF(ParticipationSeptembre16212223242830[12],"N1")+COUNTIF(ParticipationSeptembre16212223242830[12],"E")</totalsRowFormula>
    </tableColumn>
    <tableColumn id="16" name="19" totalsRowFunction="custom" dataDxfId="651" totalsRowDxfId="650">
      <totalsRowFormula>COUNTIF(ParticipationSeptembre16212223242830[19],"N1")+COUNTIF(ParticipationSeptembre16212223242830[19],"E")</totalsRowFormula>
    </tableColumn>
    <tableColumn id="17" name="26" totalsRowFunction="custom" dataDxfId="649" totalsRowDxfId="648">
      <totalsRowFormula>COUNTIF(ParticipationSeptembre16212223242830[26],"N1")+COUNTIF(ParticipationSeptembre16212223242830[26],"E")</totalsRowFormula>
    </tableColumn>
    <tableColumn id="18" name="2" totalsRowFunction="custom" dataDxfId="647" totalsRowDxfId="646">
      <totalsRowFormula>COUNTIF(ParticipationSeptembre16212223242830[2],"N1")+COUNTIF(ParticipationSeptembre16212223242830[2],"E")</totalsRowFormula>
    </tableColumn>
    <tableColumn id="19" name="9" totalsRowFunction="custom" dataDxfId="645" totalsRowDxfId="644">
      <totalsRowFormula>COUNTIF(ParticipationSeptembre16212223242830[9],"N1")+COUNTIF(ParticipationSeptembre16212223242830[9],"E")</totalsRowFormula>
    </tableColumn>
    <tableColumn id="20" name="16" totalsRowFunction="custom" dataDxfId="643" totalsRowDxfId="642">
      <totalsRowFormula>COUNTIF(ParticipationSeptembre16212223242830[16],"N1")+COUNTIF(ParticipationSeptembre16212223242830[16],"E")</totalsRowFormula>
    </tableColumn>
    <tableColumn id="21" name="23" totalsRowFunction="custom" dataDxfId="641" totalsRowDxfId="640">
      <totalsRowFormula>COUNTIF(ParticipationSeptembre16212223242830[23],"N1")+COUNTIF(ParticipationSeptembre16212223242830[23],"E")</totalsRowFormula>
    </tableColumn>
    <tableColumn id="22" name="*8" totalsRowFunction="custom" dataDxfId="639" totalsRowDxfId="638">
      <totalsRowFormula>COUNTIF(ParticipationSeptembre16212223242830[*8],"N1")+COUNTIF(ParticipationSeptembre16212223242830[*8],"E")</totalsRowFormula>
    </tableColumn>
    <tableColumn id="23" name="*15" totalsRowFunction="custom" dataDxfId="637" totalsRowDxfId="636">
      <totalsRowFormula>COUNTIF(ParticipationSeptembre16212223242830[*15],"N1")+COUNTIF(ParticipationSeptembre16212223242830[*15],"E")</totalsRowFormula>
    </tableColumn>
    <tableColumn id="24" name="22" totalsRowFunction="custom" dataDxfId="635" totalsRowDxfId="634">
      <totalsRowFormula>COUNTIF(ParticipationSeptembre16212223242830[22],"N1")+COUNTIF(ParticipationSeptembre16212223242830[22],"E")</totalsRowFormula>
    </tableColumn>
    <tableColumn id="25" name="*29" totalsRowFunction="custom" dataDxfId="633" totalsRowDxfId="632">
      <totalsRowFormula>COUNTIF(ParticipationSeptembre16212223242830[*29],"N1")+COUNTIF(ParticipationSeptembre16212223242830[*29],"E")</totalsRowFormula>
    </tableColumn>
    <tableColumn id="26" name="*19" totalsRowFunction="custom" dataDxfId="631" totalsRowDxfId="630">
      <totalsRowFormula>COUNTIF(ParticipationSeptembre16212223242830[*19],"N1")+COUNTIF(ParticipationSeptembre16212223242830[*19],"E")</totalsRowFormula>
    </tableColumn>
    <tableColumn id="27" name="*26" totalsRowFunction="custom" dataDxfId="629" totalsRowDxfId="628">
      <totalsRowFormula>COUNTIF(ParticipationSeptembre16212223242830[*26],"N1")+COUNTIF(ParticipationSeptembre16212223242830[*26],"E")</totalsRowFormula>
    </tableColumn>
    <tableColumn id="28" name="*3" totalsRowFunction="custom" dataDxfId="627" totalsRowDxfId="626">
      <totalsRowFormula>COUNTIF(ParticipationSeptembre16212223242830[*3],"N1")+COUNTIF(ParticipationSeptembre16212223242830[*3],"E")</totalsRowFormula>
    </tableColumn>
    <tableColumn id="29" name="*10" totalsRowFunction="custom" dataDxfId="625" totalsRowDxfId="624">
      <totalsRowFormula>COUNTIF(ParticipationSeptembre16212223242830[*10],"N1")+COUNTIF(ParticipationSeptembre16212223242830[*10],"E")</totalsRowFormula>
    </tableColumn>
    <tableColumn id="30" name="*17" totalsRowFunction="custom" dataDxfId="623" totalsRowDxfId="622">
      <totalsRowFormula>COUNTIF(ParticipationSeptembre16212223242830[*17],"N1")+COUNTIF(ParticipationSeptembre16212223242830[*17],"E")</totalsRowFormula>
    </tableColumn>
    <tableColumn id="31" name="*24" totalsRowFunction="custom" totalsRowDxfId="621">
      <totalsRowFormula>COUNTIF(ParticipationSeptembre16212223242830[*24],"N1")+COUNTIF(ParticipationSeptembre16212223242830[*24],"E")</totalsRowFormula>
    </tableColumn>
    <tableColumn id="32" name="30" totalsRowFunction="custom" totalsRowDxfId="620">
      <totalsRowFormula>COUNTIF(ParticipationSeptembre16212223242830[30],"N1")+COUNTIF(ParticipationSeptembre16212223242830[30],"E")</totalsRowFormula>
    </tableColumn>
    <tableColumn id="35" name="R" totalsRowFunction="sum" dataDxfId="619" totalsRowDxfId="618">
      <calculatedColumnFormula>COUNTIF(ParticipationSeptembre16212223242830[[#This Row],[fecha de nacimiento]:[30]],Code1)</calculatedColumnFormula>
    </tableColumn>
    <tableColumn id="34" name="E" totalsRowFunction="sum" dataDxfId="617" totalsRowDxfId="616">
      <calculatedColumnFormula>COUNTIF(ParticipationSeptembre16212223242830[[#This Row],[fecha de nacimiento]:[30]],Code2)</calculatedColumnFormula>
    </tableColumn>
    <tableColumn id="37" name="N1" totalsRowFunction="sum" dataDxfId="615" totalsRowDxfId="614">
      <calculatedColumnFormula>COUNTIF(ParticipationSeptembre16212223242830[[#This Row],[fecha de nacimiento]:[30]],Code3)</calculatedColumnFormula>
    </tableColumn>
    <tableColumn id="36" name="P" totalsRowFunction="sum" dataDxfId="613" totalsRowDxfId="612">
      <calculatedColumnFormula>COUNTIF(ParticipationSeptembre16212223242830[[#This Row],[fecha de nacimiento]:[30]],Code4)</calculatedColumnFormula>
    </tableColumn>
    <tableColumn id="33" name="Dias de ausencia" totalsRowDxfId="611">
      <calculatedColumnFormula>SUM(ParticipationSeptembre16212223242830[[#This Row],[E]:[N1]])</calculatedColumnFormula>
    </tableColumn>
  </tableColumns>
  <tableStyleInfo name="Employee Absence Table" showFirstColumn="0" showLastColumn="1" showRowStripes="1" showColumnStripes="1"/>
  <extLst>
    <ext xmlns:x14="http://schemas.microsoft.com/office/spreadsheetml/2009/9/main" uri="{504A1905-F514-4f6f-8877-14C23A59335A}">
      <x14:table altText="Fiche de présence d’août" altTextSummary="Permet d’assurer le suivi de présence des élèves (R=en retard, E=excusé, N=non excusé, P=présent, N=école fermée) pour le mois de septembre."/>
    </ext>
  </extLst>
</table>
</file>

<file path=xl/tables/table7.xml><?xml version="1.0" encoding="utf-8"?>
<table xmlns="http://schemas.openxmlformats.org/spreadsheetml/2006/main" id="31" name="ParticipationSeptembre162122232428303132" displayName="ParticipationSeptembre162122232428303132" ref="B6:AM19" totalsRowCount="1" totalsRowDxfId="610">
  <tableColumns count="38">
    <tableColumn id="38" name="Nombre" dataDxfId="609" totalsRowDxfId="608"/>
    <tableColumn id="1" name="Apellido" totalsRowLabel="Jours d’absence (total)" dataDxfId="607" totalsRowDxfId="606"/>
    <tableColumn id="2" name="fecha de nacimiento" totalsRowFunction="custom" dataDxfId="605" totalsRowDxfId="604">
      <totalsRowFormula>COUNTIF(ParticipationSeptembre162122232428303132[fecha de nacimiento],"N1")+COUNTIF(ParticipationSeptembre162122232428303132[fecha de nacimiento],"E")</totalsRowFormula>
    </tableColumn>
    <tableColumn id="3" name="29" totalsRowFunction="custom" dataDxfId="603" totalsRowDxfId="602">
      <totalsRowFormula>COUNTIF(ParticipationSeptembre162122232428303132[29],"N1")+COUNTIF(ParticipationSeptembre162122232428303132[29],"E")</totalsRowFormula>
    </tableColumn>
    <tableColumn id="4" name="6" totalsRowFunction="custom" dataDxfId="601" totalsRowDxfId="600">
      <totalsRowFormula>COUNTIF(ParticipationSeptembre162122232428303132[6],"N1")+COUNTIF(ParticipationSeptembre162122232428303132[6],"E")</totalsRowFormula>
    </tableColumn>
    <tableColumn id="5" name="13" totalsRowFunction="custom" dataDxfId="599" totalsRowDxfId="598">
      <totalsRowFormula>COUNTIF(ParticipationSeptembre162122232428303132[13],"N1")+COUNTIF(ParticipationSeptembre162122232428303132[13],"E")</totalsRowFormula>
    </tableColumn>
    <tableColumn id="6" name="20" totalsRowFunction="custom" dataDxfId="597" totalsRowDxfId="596">
      <totalsRowFormula>COUNTIF(ParticipationSeptembre162122232428303132[20],"N1")+COUNTIF(ParticipationSeptembre162122232428303132[20],"E")</totalsRowFormula>
    </tableColumn>
    <tableColumn id="7" name="27" totalsRowFunction="custom" dataDxfId="595" totalsRowDxfId="594">
      <totalsRowFormula>COUNTIF(ParticipationSeptembre162122232428303132[27],"N1")+COUNTIF(ParticipationSeptembre162122232428303132[27],"E")</totalsRowFormula>
    </tableColumn>
    <tableColumn id="8" name="3" totalsRowFunction="custom" dataDxfId="593" totalsRowDxfId="592">
      <totalsRowFormula>COUNTIF(ParticipationSeptembre162122232428303132[3],"N1")+COUNTIF(ParticipationSeptembre162122232428303132[3],"E")</totalsRowFormula>
    </tableColumn>
    <tableColumn id="9" name="10" totalsRowFunction="custom" dataDxfId="591" totalsRowDxfId="590">
      <totalsRowFormula>COUNTIF(ParticipationSeptembre162122232428303132[10],"N1")+COUNTIF(ParticipationSeptembre162122232428303132[10],"E")</totalsRowFormula>
    </tableColumn>
    <tableColumn id="10" name="17" totalsRowFunction="custom" dataDxfId="589" totalsRowDxfId="588">
      <totalsRowFormula>COUNTIF(ParticipationSeptembre162122232428303132[17],"N1")+COUNTIF(ParticipationSeptembre162122232428303132[17],"E")</totalsRowFormula>
    </tableColumn>
    <tableColumn id="11" name="24" totalsRowFunction="custom" dataDxfId="587" totalsRowDxfId="586">
      <totalsRowFormula>COUNTIF(ParticipationSeptembre162122232428303132[24],"N1")+COUNTIF(ParticipationSeptembre162122232428303132[24],"E")</totalsRowFormula>
    </tableColumn>
    <tableColumn id="12" name="14" totalsRowFunction="custom" dataDxfId="585" totalsRowDxfId="584">
      <totalsRowFormula>COUNTIF(ParticipationSeptembre162122232428303132[14],"N1")+COUNTIF(ParticipationSeptembre162122232428303132[14],"E")</totalsRowFormula>
    </tableColumn>
    <tableColumn id="13" name="8" totalsRowFunction="custom" dataDxfId="583" totalsRowDxfId="582">
      <totalsRowFormula>COUNTIF(ParticipationSeptembre162122232428303132[8],"N1")+COUNTIF(ParticipationSeptembre162122232428303132[8],"E")</totalsRowFormula>
    </tableColumn>
    <tableColumn id="14" name="15" totalsRowFunction="custom" dataDxfId="581" totalsRowDxfId="580">
      <totalsRowFormula>COUNTIF(ParticipationSeptembre162122232428303132[15],"N1")+COUNTIF(ParticipationSeptembre162122232428303132[15],"E")</totalsRowFormula>
    </tableColumn>
    <tableColumn id="15" name="12" totalsRowFunction="custom" dataDxfId="579" totalsRowDxfId="578">
      <totalsRowFormula>COUNTIF(ParticipationSeptembre162122232428303132[12],"N1")+COUNTIF(ParticipationSeptembre162122232428303132[12],"E")</totalsRowFormula>
    </tableColumn>
    <tableColumn id="16" name="19" totalsRowFunction="custom" dataDxfId="577" totalsRowDxfId="576">
      <totalsRowFormula>COUNTIF(ParticipationSeptembre162122232428303132[19],"N1")+COUNTIF(ParticipationSeptembre162122232428303132[19],"E")</totalsRowFormula>
    </tableColumn>
    <tableColumn id="17" name="26" totalsRowFunction="custom" dataDxfId="575" totalsRowDxfId="574">
      <totalsRowFormula>COUNTIF(ParticipationSeptembre162122232428303132[26],"N1")+COUNTIF(ParticipationSeptembre162122232428303132[26],"E")</totalsRowFormula>
    </tableColumn>
    <tableColumn id="18" name="2" totalsRowFunction="custom" dataDxfId="573" totalsRowDxfId="572">
      <totalsRowFormula>COUNTIF(ParticipationSeptembre162122232428303132[2],"N1")+COUNTIF(ParticipationSeptembre162122232428303132[2],"E")</totalsRowFormula>
    </tableColumn>
    <tableColumn id="19" name="9" totalsRowFunction="custom" dataDxfId="571" totalsRowDxfId="570">
      <totalsRowFormula>COUNTIF(ParticipationSeptembre162122232428303132[9],"N1")+COUNTIF(ParticipationSeptembre162122232428303132[9],"E")</totalsRowFormula>
    </tableColumn>
    <tableColumn id="20" name="16" totalsRowFunction="custom" dataDxfId="569" totalsRowDxfId="568">
      <totalsRowFormula>COUNTIF(ParticipationSeptembre162122232428303132[16],"N1")+COUNTIF(ParticipationSeptembre162122232428303132[16],"E")</totalsRowFormula>
    </tableColumn>
    <tableColumn id="21" name="23" totalsRowFunction="custom" dataDxfId="567" totalsRowDxfId="566">
      <totalsRowFormula>COUNTIF(ParticipationSeptembre162122232428303132[23],"N1")+COUNTIF(ParticipationSeptembre162122232428303132[23],"E")</totalsRowFormula>
    </tableColumn>
    <tableColumn id="22" name="*8" totalsRowFunction="custom" dataDxfId="565" totalsRowDxfId="564">
      <totalsRowFormula>COUNTIF(ParticipationSeptembre162122232428303132[*8],"N1")+COUNTIF(ParticipationSeptembre162122232428303132[*8],"E")</totalsRowFormula>
    </tableColumn>
    <tableColumn id="23" name="*15" totalsRowFunction="custom" dataDxfId="563" totalsRowDxfId="562">
      <totalsRowFormula>COUNTIF(ParticipationSeptembre162122232428303132[*15],"N1")+COUNTIF(ParticipationSeptembre162122232428303132[*15],"E")</totalsRowFormula>
    </tableColumn>
    <tableColumn id="24" name="22" totalsRowFunction="custom" dataDxfId="561" totalsRowDxfId="560">
      <totalsRowFormula>COUNTIF(ParticipationSeptembre162122232428303132[22],"N1")+COUNTIF(ParticipationSeptembre162122232428303132[22],"E")</totalsRowFormula>
    </tableColumn>
    <tableColumn id="25" name="*29" totalsRowFunction="custom" dataDxfId="559" totalsRowDxfId="558">
      <totalsRowFormula>COUNTIF(ParticipationSeptembre162122232428303132[*29],"N1")+COUNTIF(ParticipationSeptembre162122232428303132[*29],"E")</totalsRowFormula>
    </tableColumn>
    <tableColumn id="26" name="*19" totalsRowFunction="custom" dataDxfId="557" totalsRowDxfId="556">
      <totalsRowFormula>COUNTIF(ParticipationSeptembre162122232428303132[*19],"N1")+COUNTIF(ParticipationSeptembre162122232428303132[*19],"E")</totalsRowFormula>
    </tableColumn>
    <tableColumn id="27" name="*26" totalsRowFunction="custom" dataDxfId="555" totalsRowDxfId="554">
      <totalsRowFormula>COUNTIF(ParticipationSeptembre162122232428303132[*26],"N1")+COUNTIF(ParticipationSeptembre162122232428303132[*26],"E")</totalsRowFormula>
    </tableColumn>
    <tableColumn id="28" name="*3" totalsRowFunction="custom" dataDxfId="553" totalsRowDxfId="552">
      <totalsRowFormula>COUNTIF(ParticipationSeptembre162122232428303132[*3],"N1")+COUNTIF(ParticipationSeptembre162122232428303132[*3],"E")</totalsRowFormula>
    </tableColumn>
    <tableColumn id="29" name="*10" totalsRowFunction="custom" dataDxfId="551" totalsRowDxfId="550">
      <totalsRowFormula>COUNTIF(ParticipationSeptembre162122232428303132[*10],"N1")+COUNTIF(ParticipationSeptembre162122232428303132[*10],"E")</totalsRowFormula>
    </tableColumn>
    <tableColumn id="30" name="*17" totalsRowFunction="custom" dataDxfId="549" totalsRowDxfId="548">
      <totalsRowFormula>COUNTIF(ParticipationSeptembre162122232428303132[*17],"N1")+COUNTIF(ParticipationSeptembre162122232428303132[*17],"E")</totalsRowFormula>
    </tableColumn>
    <tableColumn id="31" name="*24" totalsRowFunction="custom" totalsRowDxfId="547">
      <totalsRowFormula>COUNTIF(ParticipationSeptembre162122232428303132[*24],"N1")+COUNTIF(ParticipationSeptembre162122232428303132[*24],"E")</totalsRowFormula>
    </tableColumn>
    <tableColumn id="32" name="30" totalsRowFunction="custom" totalsRowDxfId="546">
      <totalsRowFormula>COUNTIF(ParticipationSeptembre162122232428303132[30],"N1")+COUNTIF(ParticipationSeptembre162122232428303132[30],"E")</totalsRowFormula>
    </tableColumn>
    <tableColumn id="35" name="R" totalsRowFunction="sum" dataDxfId="545" totalsRowDxfId="544">
      <calculatedColumnFormula>COUNTIF(ParticipationSeptembre162122232428303132[[#This Row],[fecha de nacimiento]:[30]],Code1)</calculatedColumnFormula>
    </tableColumn>
    <tableColumn id="34" name="E" totalsRowFunction="sum" dataDxfId="543" totalsRowDxfId="542">
      <calculatedColumnFormula>COUNTIF(ParticipationSeptembre162122232428303132[[#This Row],[fecha de nacimiento]:[30]],Code2)</calculatedColumnFormula>
    </tableColumn>
    <tableColumn id="37" name="N1" totalsRowFunction="sum" dataDxfId="541" totalsRowDxfId="540">
      <calculatedColumnFormula>COUNTIF(ParticipationSeptembre162122232428303132[[#This Row],[fecha de nacimiento]:[30]],Code3)</calculatedColumnFormula>
    </tableColumn>
    <tableColumn id="36" name="P" totalsRowFunction="sum" dataDxfId="539" totalsRowDxfId="538">
      <calculatedColumnFormula>COUNTIF(ParticipationSeptembre162122232428303132[[#This Row],[fecha de nacimiento]:[30]],Code4)</calculatedColumnFormula>
    </tableColumn>
    <tableColumn id="33" name="Dias de ausencia" totalsRowDxfId="537">
      <calculatedColumnFormula>SUM(ParticipationSeptembre162122232428303132[[#This Row],[E]:[N1]])</calculatedColumnFormula>
    </tableColumn>
  </tableColumns>
  <tableStyleInfo name="Employee Absence Table" showFirstColumn="0" showLastColumn="1" showRowStripes="1" showColumnStripes="1"/>
  <extLst>
    <ext xmlns:x14="http://schemas.microsoft.com/office/spreadsheetml/2009/9/main" uri="{504A1905-F514-4f6f-8877-14C23A59335A}">
      <x14:table altText="Fiche de présence d’août" altTextSummary="Permet d’assurer le suivi de présence des élèves (R=en retard, E=excusé, N=non excusé, P=présent, N=école fermée) pour le mois de septembre."/>
    </ext>
  </extLst>
</table>
</file>

<file path=xl/tables/table8.xml><?xml version="1.0" encoding="utf-8"?>
<table xmlns="http://schemas.openxmlformats.org/spreadsheetml/2006/main" id="30" name="ParticipationSeptembre1621222324283031" displayName="ParticipationSeptembre1621222324283031" ref="B6:AM18" totalsRowCount="1" totalsRowDxfId="536">
  <tableColumns count="38">
    <tableColumn id="38" name="Nombre" dataDxfId="535" totalsRowDxfId="534"/>
    <tableColumn id="1" name="Apellido" totalsRowLabel="Jours d’absence (total)" dataDxfId="533" totalsRowDxfId="532"/>
    <tableColumn id="2" name="fecha de nacimiento" totalsRowFunction="custom" dataDxfId="531" totalsRowDxfId="530">
      <totalsRowFormula>COUNTIF(ParticipationSeptembre1621222324283031[fecha de nacimiento],"N1")+COUNTIF(ParticipationSeptembre1621222324283031[fecha de nacimiento],"E")</totalsRowFormula>
    </tableColumn>
    <tableColumn id="3" name="29" totalsRowFunction="custom" dataDxfId="529" totalsRowDxfId="528">
      <totalsRowFormula>COUNTIF(ParticipationSeptembre1621222324283031[29],"N1")+COUNTIF(ParticipationSeptembre1621222324283031[29],"E")</totalsRowFormula>
    </tableColumn>
    <tableColumn id="4" name="6" totalsRowFunction="custom" dataDxfId="527" totalsRowDxfId="526">
      <totalsRowFormula>COUNTIF(ParticipationSeptembre1621222324283031[6],"N1")+COUNTIF(ParticipationSeptembre1621222324283031[6],"E")</totalsRowFormula>
    </tableColumn>
    <tableColumn id="5" name="13" totalsRowFunction="custom" dataDxfId="525" totalsRowDxfId="524">
      <totalsRowFormula>COUNTIF(ParticipationSeptembre1621222324283031[13],"N1")+COUNTIF(ParticipationSeptembre1621222324283031[13],"E")</totalsRowFormula>
    </tableColumn>
    <tableColumn id="6" name="20" totalsRowFunction="custom" dataDxfId="523" totalsRowDxfId="522">
      <totalsRowFormula>COUNTIF(ParticipationSeptembre1621222324283031[20],"N1")+COUNTIF(ParticipationSeptembre1621222324283031[20],"E")</totalsRowFormula>
    </tableColumn>
    <tableColumn id="7" name="27" totalsRowFunction="custom" dataDxfId="521" totalsRowDxfId="520">
      <totalsRowFormula>COUNTIF(ParticipationSeptembre1621222324283031[27],"N1")+COUNTIF(ParticipationSeptembre1621222324283031[27],"E")</totalsRowFormula>
    </tableColumn>
    <tableColumn id="8" name="3" totalsRowFunction="custom" dataDxfId="519" totalsRowDxfId="518">
      <totalsRowFormula>COUNTIF(ParticipationSeptembre1621222324283031[3],"N1")+COUNTIF(ParticipationSeptembre1621222324283031[3],"E")</totalsRowFormula>
    </tableColumn>
    <tableColumn id="9" name="10" totalsRowFunction="custom" dataDxfId="517" totalsRowDxfId="516">
      <totalsRowFormula>COUNTIF(ParticipationSeptembre1621222324283031[10],"N1")+COUNTIF(ParticipationSeptembre1621222324283031[10],"E")</totalsRowFormula>
    </tableColumn>
    <tableColumn id="10" name="17" totalsRowFunction="custom" dataDxfId="515" totalsRowDxfId="514">
      <totalsRowFormula>COUNTIF(ParticipationSeptembre1621222324283031[17],"N1")+COUNTIF(ParticipationSeptembre1621222324283031[17],"E")</totalsRowFormula>
    </tableColumn>
    <tableColumn id="11" name="24" totalsRowFunction="custom" dataDxfId="513" totalsRowDxfId="512">
      <totalsRowFormula>COUNTIF(ParticipationSeptembre1621222324283031[24],"N1")+COUNTIF(ParticipationSeptembre1621222324283031[24],"E")</totalsRowFormula>
    </tableColumn>
    <tableColumn id="12" name="14" totalsRowFunction="custom" dataDxfId="511" totalsRowDxfId="510">
      <totalsRowFormula>COUNTIF(ParticipationSeptembre1621222324283031[14],"N1")+COUNTIF(ParticipationSeptembre1621222324283031[14],"E")</totalsRowFormula>
    </tableColumn>
    <tableColumn id="13" name="8" totalsRowFunction="custom" dataDxfId="509" totalsRowDxfId="508">
      <totalsRowFormula>COUNTIF(ParticipationSeptembre1621222324283031[8],"N1")+COUNTIF(ParticipationSeptembre1621222324283031[8],"E")</totalsRowFormula>
    </tableColumn>
    <tableColumn id="14" name="15" totalsRowFunction="custom" dataDxfId="507" totalsRowDxfId="506">
      <totalsRowFormula>COUNTIF(ParticipationSeptembre1621222324283031[15],"N1")+COUNTIF(ParticipationSeptembre1621222324283031[15],"E")</totalsRowFormula>
    </tableColumn>
    <tableColumn id="15" name="12" totalsRowFunction="custom" dataDxfId="505" totalsRowDxfId="504">
      <totalsRowFormula>COUNTIF(ParticipationSeptembre1621222324283031[12],"N1")+COUNTIF(ParticipationSeptembre1621222324283031[12],"E")</totalsRowFormula>
    </tableColumn>
    <tableColumn id="16" name="19" totalsRowFunction="custom" dataDxfId="503" totalsRowDxfId="502">
      <totalsRowFormula>COUNTIF(ParticipationSeptembre1621222324283031[19],"N1")+COUNTIF(ParticipationSeptembre1621222324283031[19],"E")</totalsRowFormula>
    </tableColumn>
    <tableColumn id="17" name="26" totalsRowFunction="custom" dataDxfId="501" totalsRowDxfId="500">
      <totalsRowFormula>COUNTIF(ParticipationSeptembre1621222324283031[26],"N1")+COUNTIF(ParticipationSeptembre1621222324283031[26],"E")</totalsRowFormula>
    </tableColumn>
    <tableColumn id="18" name="2" totalsRowFunction="custom" dataDxfId="499" totalsRowDxfId="498">
      <totalsRowFormula>COUNTIF(ParticipationSeptembre1621222324283031[2],"N1")+COUNTIF(ParticipationSeptembre1621222324283031[2],"E")</totalsRowFormula>
    </tableColumn>
    <tableColumn id="19" name="9" totalsRowFunction="custom" dataDxfId="497" totalsRowDxfId="496">
      <totalsRowFormula>COUNTIF(ParticipationSeptembre1621222324283031[9],"N1")+COUNTIF(ParticipationSeptembre1621222324283031[9],"E")</totalsRowFormula>
    </tableColumn>
    <tableColumn id="20" name="16" totalsRowFunction="custom" dataDxfId="495" totalsRowDxfId="494">
      <totalsRowFormula>COUNTIF(ParticipationSeptembre1621222324283031[16],"N1")+COUNTIF(ParticipationSeptembre1621222324283031[16],"E")</totalsRowFormula>
    </tableColumn>
    <tableColumn id="21" name="23" totalsRowFunction="custom" dataDxfId="493" totalsRowDxfId="492">
      <totalsRowFormula>COUNTIF(ParticipationSeptembre1621222324283031[23],"N1")+COUNTIF(ParticipationSeptembre1621222324283031[23],"E")</totalsRowFormula>
    </tableColumn>
    <tableColumn id="22" name="*8" totalsRowFunction="custom" dataDxfId="491" totalsRowDxfId="490">
      <totalsRowFormula>COUNTIF(ParticipationSeptembre1621222324283031[*8],"N1")+COUNTIF(ParticipationSeptembre1621222324283031[*8],"E")</totalsRowFormula>
    </tableColumn>
    <tableColumn id="23" name="*15" totalsRowFunction="custom" dataDxfId="489" totalsRowDxfId="488">
      <totalsRowFormula>COUNTIF(ParticipationSeptembre1621222324283031[*15],"N1")+COUNTIF(ParticipationSeptembre1621222324283031[*15],"E")</totalsRowFormula>
    </tableColumn>
    <tableColumn id="24" name="22" totalsRowFunction="custom" dataDxfId="487" totalsRowDxfId="486">
      <totalsRowFormula>COUNTIF(ParticipationSeptembre1621222324283031[22],"N1")+COUNTIF(ParticipationSeptembre1621222324283031[22],"E")</totalsRowFormula>
    </tableColumn>
    <tableColumn id="25" name="*29" totalsRowFunction="custom" dataDxfId="485" totalsRowDxfId="484">
      <totalsRowFormula>COUNTIF(ParticipationSeptembre1621222324283031[*29],"N1")+COUNTIF(ParticipationSeptembre1621222324283031[*29],"E")</totalsRowFormula>
    </tableColumn>
    <tableColumn id="26" name="*19" totalsRowFunction="custom" dataDxfId="483" totalsRowDxfId="482">
      <totalsRowFormula>COUNTIF(ParticipationSeptembre1621222324283031[*19],"N1")+COUNTIF(ParticipationSeptembre1621222324283031[*19],"E")</totalsRowFormula>
    </tableColumn>
    <tableColumn id="27" name="*26" totalsRowFunction="custom" dataDxfId="481" totalsRowDxfId="480">
      <totalsRowFormula>COUNTIF(ParticipationSeptembre1621222324283031[*26],"N1")+COUNTIF(ParticipationSeptembre1621222324283031[*26],"E")</totalsRowFormula>
    </tableColumn>
    <tableColumn id="28" name="*3" totalsRowFunction="custom" dataDxfId="479" totalsRowDxfId="478">
      <totalsRowFormula>COUNTIF(ParticipationSeptembre1621222324283031[*3],"N1")+COUNTIF(ParticipationSeptembre1621222324283031[*3],"E")</totalsRowFormula>
    </tableColumn>
    <tableColumn id="29" name="*10" totalsRowFunction="custom" dataDxfId="477" totalsRowDxfId="476">
      <totalsRowFormula>COUNTIF(ParticipationSeptembre1621222324283031[*10],"N1")+COUNTIF(ParticipationSeptembre1621222324283031[*10],"E")</totalsRowFormula>
    </tableColumn>
    <tableColumn id="30" name="*17" totalsRowFunction="custom" dataDxfId="475" totalsRowDxfId="474">
      <totalsRowFormula>COUNTIF(ParticipationSeptembre1621222324283031[*17],"N1")+COUNTIF(ParticipationSeptembre1621222324283031[*17],"E")</totalsRowFormula>
    </tableColumn>
    <tableColumn id="31" name="*24" totalsRowFunction="custom" totalsRowDxfId="473">
      <totalsRowFormula>COUNTIF(ParticipationSeptembre1621222324283031[*24],"N1")+COUNTIF(ParticipationSeptembre1621222324283031[*24],"E")</totalsRowFormula>
    </tableColumn>
    <tableColumn id="32" name="30" totalsRowFunction="custom" totalsRowDxfId="472">
      <totalsRowFormula>COUNTIF(ParticipationSeptembre1621222324283031[30],"N1")+COUNTIF(ParticipationSeptembre1621222324283031[30],"E")</totalsRowFormula>
    </tableColumn>
    <tableColumn id="35" name="R" totalsRowFunction="sum" dataDxfId="471" totalsRowDxfId="470">
      <calculatedColumnFormula>COUNTIF(ParticipationSeptembre1621222324283031[[#This Row],[fecha de nacimiento]:[30]],Code1)</calculatedColumnFormula>
    </tableColumn>
    <tableColumn id="34" name="E" totalsRowFunction="sum" dataDxfId="469" totalsRowDxfId="468">
      <calculatedColumnFormula>COUNTIF(ParticipationSeptembre1621222324283031[[#This Row],[fecha de nacimiento]:[30]],Code2)</calculatedColumnFormula>
    </tableColumn>
    <tableColumn id="37" name="N1" totalsRowFunction="sum" dataDxfId="467" totalsRowDxfId="466">
      <calculatedColumnFormula>COUNTIF(ParticipationSeptembre1621222324283031[[#This Row],[fecha de nacimiento]:[30]],Code3)</calculatedColumnFormula>
    </tableColumn>
    <tableColumn id="36" name="P" totalsRowFunction="sum" dataDxfId="465" totalsRowDxfId="464">
      <calculatedColumnFormula>COUNTIF(ParticipationSeptembre1621222324283031[[#This Row],[fecha de nacimiento]:[30]],Code4)</calculatedColumnFormula>
    </tableColumn>
    <tableColumn id="33" name="Dias de ausencia" totalsRowDxfId="463">
      <calculatedColumnFormula>SUM(ParticipationSeptembre1621222324283031[[#This Row],[E]:[N1]])</calculatedColumnFormula>
    </tableColumn>
  </tableColumns>
  <tableStyleInfo name="Employee Absence Table" showFirstColumn="0" showLastColumn="1" showRowStripes="1" showColumnStripes="1"/>
  <extLst>
    <ext xmlns:x14="http://schemas.microsoft.com/office/spreadsheetml/2009/9/main" uri="{504A1905-F514-4f6f-8877-14C23A59335A}">
      <x14:table altText="Fiche de présence d’août" altTextSummary="Permet d’assurer le suivi de présence des élèves (R=en retard, E=excusé, N=non excusé, P=présent, N=école fermée) pour le mois de septembre."/>
    </ext>
  </extLst>
</table>
</file>

<file path=xl/tables/table9.xml><?xml version="1.0" encoding="utf-8"?>
<table xmlns="http://schemas.openxmlformats.org/spreadsheetml/2006/main" id="23" name="ParticipationSeptembre1621222324" displayName="ParticipationSeptembre1621222324" ref="B6:AM21" totalsRowCount="1" totalsRowDxfId="462">
  <tableColumns count="38">
    <tableColumn id="38" name="Nombre" dataDxfId="461" totalsRowDxfId="216"/>
    <tableColumn id="1" name="Apellido" totalsRowLabel="Jours d’absence (total)" dataDxfId="460" totalsRowDxfId="215"/>
    <tableColumn id="2" name="fecha de nacimiento" totalsRowFunction="custom" dataDxfId="459" totalsRowDxfId="214">
      <totalsRowFormula>COUNTIF(ParticipationSeptembre1621222324[fecha de nacimiento],"N1")+COUNTIF(ParticipationSeptembre1621222324[fecha de nacimiento],"E")</totalsRowFormula>
    </tableColumn>
    <tableColumn id="3" name="29" totalsRowFunction="custom" dataDxfId="458" totalsRowDxfId="213">
      <totalsRowFormula>COUNTIF(ParticipationSeptembre1621222324[29],"N1")+COUNTIF(ParticipationSeptembre1621222324[29],"E")</totalsRowFormula>
    </tableColumn>
    <tableColumn id="4" name="6" totalsRowFunction="custom" dataDxfId="457" totalsRowDxfId="212">
      <totalsRowFormula>COUNTIF(ParticipationSeptembre1621222324[6],"N1")+COUNTIF(ParticipationSeptembre1621222324[6],"E")</totalsRowFormula>
    </tableColumn>
    <tableColumn id="5" name="13" totalsRowFunction="custom" dataDxfId="456" totalsRowDxfId="211">
      <totalsRowFormula>COUNTIF(ParticipationSeptembre1621222324[13],"N1")+COUNTIF(ParticipationSeptembre1621222324[13],"E")</totalsRowFormula>
    </tableColumn>
    <tableColumn id="6" name="20" totalsRowFunction="custom" dataDxfId="455" totalsRowDxfId="210">
      <totalsRowFormula>COUNTIF(ParticipationSeptembre1621222324[20],"N1")+COUNTIF(ParticipationSeptembre1621222324[20],"E")</totalsRowFormula>
    </tableColumn>
    <tableColumn id="7" name="27" totalsRowFunction="custom" dataDxfId="454" totalsRowDxfId="209">
      <totalsRowFormula>COUNTIF(ParticipationSeptembre1621222324[27],"N1")+COUNTIF(ParticipationSeptembre1621222324[27],"E")</totalsRowFormula>
    </tableColumn>
    <tableColumn id="8" name="3" totalsRowFunction="custom" dataDxfId="453" totalsRowDxfId="208">
      <totalsRowFormula>COUNTIF(ParticipationSeptembre1621222324[3],"N1")+COUNTIF(ParticipationSeptembre1621222324[3],"E")</totalsRowFormula>
    </tableColumn>
    <tableColumn id="9" name="10" totalsRowFunction="custom" dataDxfId="452" totalsRowDxfId="207">
      <totalsRowFormula>COUNTIF(ParticipationSeptembre1621222324[10],"N1")+COUNTIF(ParticipationSeptembre1621222324[10],"E")</totalsRowFormula>
    </tableColumn>
    <tableColumn id="10" name="17" totalsRowFunction="custom" dataDxfId="451" totalsRowDxfId="206">
      <totalsRowFormula>COUNTIF(ParticipationSeptembre1621222324[17],"N1")+COUNTIF(ParticipationSeptembre1621222324[17],"E")</totalsRowFormula>
    </tableColumn>
    <tableColumn id="11" name="24" totalsRowFunction="custom" dataDxfId="450" totalsRowDxfId="205">
      <totalsRowFormula>COUNTIF(ParticipationSeptembre1621222324[24],"N1")+COUNTIF(ParticipationSeptembre1621222324[24],"E")</totalsRowFormula>
    </tableColumn>
    <tableColumn id="12" name="14" totalsRowFunction="custom" dataDxfId="449" totalsRowDxfId="204">
      <totalsRowFormula>COUNTIF(ParticipationSeptembre1621222324[14],"N1")+COUNTIF(ParticipationSeptembre1621222324[14],"E")</totalsRowFormula>
    </tableColumn>
    <tableColumn id="13" name="8" totalsRowFunction="custom" dataDxfId="448" totalsRowDxfId="203">
      <totalsRowFormula>COUNTIF(ParticipationSeptembre1621222324[8],"N1")+COUNTIF(ParticipationSeptembre1621222324[8],"E")</totalsRowFormula>
    </tableColumn>
    <tableColumn id="14" name="15" totalsRowFunction="custom" dataDxfId="447" totalsRowDxfId="202">
      <totalsRowFormula>COUNTIF(ParticipationSeptembre1621222324[15],"N1")+COUNTIF(ParticipationSeptembre1621222324[15],"E")</totalsRowFormula>
    </tableColumn>
    <tableColumn id="15" name="12" totalsRowFunction="custom" dataDxfId="446" totalsRowDxfId="201">
      <totalsRowFormula>COUNTIF(ParticipationSeptembre1621222324[12],"N1")+COUNTIF(ParticipationSeptembre1621222324[12],"E")</totalsRowFormula>
    </tableColumn>
    <tableColumn id="16" name="19" totalsRowFunction="custom" dataDxfId="445" totalsRowDxfId="200">
      <totalsRowFormula>COUNTIF(ParticipationSeptembre1621222324[19],"N1")+COUNTIF(ParticipationSeptembre1621222324[19],"E")</totalsRowFormula>
    </tableColumn>
    <tableColumn id="17" name="26" totalsRowFunction="custom" dataDxfId="444" totalsRowDxfId="199">
      <totalsRowFormula>COUNTIF(ParticipationSeptembre1621222324[26],"N1")+COUNTIF(ParticipationSeptembre1621222324[26],"E")</totalsRowFormula>
    </tableColumn>
    <tableColumn id="18" name="2" totalsRowFunction="custom" dataDxfId="443" totalsRowDxfId="198">
      <totalsRowFormula>COUNTIF(ParticipationSeptembre1621222324[2],"N1")+COUNTIF(ParticipationSeptembre1621222324[2],"E")</totalsRowFormula>
    </tableColumn>
    <tableColumn id="19" name="9" totalsRowFunction="custom" dataDxfId="442" totalsRowDxfId="197">
      <totalsRowFormula>COUNTIF(ParticipationSeptembre1621222324[9],"N1")+COUNTIF(ParticipationSeptembre1621222324[9],"E")</totalsRowFormula>
    </tableColumn>
    <tableColumn id="20" name="16" totalsRowFunction="custom" dataDxfId="441" totalsRowDxfId="196">
      <totalsRowFormula>COUNTIF(ParticipationSeptembre1621222324[16],"N1")+COUNTIF(ParticipationSeptembre1621222324[16],"E")</totalsRowFormula>
    </tableColumn>
    <tableColumn id="21" name="23" totalsRowFunction="custom" dataDxfId="440" totalsRowDxfId="195">
      <totalsRowFormula>COUNTIF(ParticipationSeptembre1621222324[23],"N1")+COUNTIF(ParticipationSeptembre1621222324[23],"E")</totalsRowFormula>
    </tableColumn>
    <tableColumn id="22" name="*8" totalsRowFunction="custom" dataDxfId="439" totalsRowDxfId="194">
      <totalsRowFormula>COUNTIF(ParticipationSeptembre1621222324[*8],"N1")+COUNTIF(ParticipationSeptembre1621222324[*8],"E")</totalsRowFormula>
    </tableColumn>
    <tableColumn id="23" name="*15" totalsRowFunction="custom" dataDxfId="438" totalsRowDxfId="193">
      <totalsRowFormula>COUNTIF(ParticipationSeptembre1621222324[*15],"N1")+COUNTIF(ParticipationSeptembre1621222324[*15],"E")</totalsRowFormula>
    </tableColumn>
    <tableColumn id="24" name="22" totalsRowFunction="custom" dataDxfId="437" totalsRowDxfId="192">
      <totalsRowFormula>COUNTIF(ParticipationSeptembre1621222324[22],"N1")+COUNTIF(ParticipationSeptembre1621222324[22],"E")</totalsRowFormula>
    </tableColumn>
    <tableColumn id="25" name="*29" totalsRowFunction="custom" dataDxfId="436" totalsRowDxfId="191">
      <totalsRowFormula>COUNTIF(ParticipationSeptembre1621222324[*29],"N1")+COUNTIF(ParticipationSeptembre1621222324[*29],"E")</totalsRowFormula>
    </tableColumn>
    <tableColumn id="26" name="*19" totalsRowFunction="custom" dataDxfId="435" totalsRowDxfId="190">
      <totalsRowFormula>COUNTIF(ParticipationSeptembre1621222324[*19],"N1")+COUNTIF(ParticipationSeptembre1621222324[*19],"E")</totalsRowFormula>
    </tableColumn>
    <tableColumn id="27" name="*26" totalsRowFunction="custom" dataDxfId="434" totalsRowDxfId="189">
      <totalsRowFormula>COUNTIF(ParticipationSeptembre1621222324[*26],"N1")+COUNTIF(ParticipationSeptembre1621222324[*26],"E")</totalsRowFormula>
    </tableColumn>
    <tableColumn id="28" name="*3" totalsRowFunction="custom" dataDxfId="433" totalsRowDxfId="188">
      <totalsRowFormula>COUNTIF(ParticipationSeptembre1621222324[*3],"N1")+COUNTIF(ParticipationSeptembre1621222324[*3],"E")</totalsRowFormula>
    </tableColumn>
    <tableColumn id="29" name="*10" totalsRowFunction="custom" dataDxfId="432" totalsRowDxfId="187">
      <totalsRowFormula>COUNTIF(ParticipationSeptembre1621222324[*10],"N1")+COUNTIF(ParticipationSeptembre1621222324[*10],"E")</totalsRowFormula>
    </tableColumn>
    <tableColumn id="30" name="*17" totalsRowFunction="custom" dataDxfId="431" totalsRowDxfId="186">
      <totalsRowFormula>COUNTIF(ParticipationSeptembre1621222324[*17],"N1")+COUNTIF(ParticipationSeptembre1621222324[*17],"E")</totalsRowFormula>
    </tableColumn>
    <tableColumn id="31" name="*24" totalsRowFunction="custom" totalsRowDxfId="185">
      <totalsRowFormula>COUNTIF(ParticipationSeptembre1621222324[*24],"N1")+COUNTIF(ParticipationSeptembre1621222324[*24],"E")</totalsRowFormula>
    </tableColumn>
    <tableColumn id="32" name="30" totalsRowFunction="custom" totalsRowDxfId="184">
      <totalsRowFormula>COUNTIF(ParticipationSeptembre1621222324[30],"N1")+COUNTIF(ParticipationSeptembre1621222324[30],"E")</totalsRowFormula>
    </tableColumn>
    <tableColumn id="35" name="R" totalsRowFunction="sum" dataDxfId="430" totalsRowDxfId="183">
      <calculatedColumnFormula>COUNTIF(ParticipationSeptembre1621222324[[#This Row],[fecha de nacimiento]:[30]],Code1)</calculatedColumnFormula>
    </tableColumn>
    <tableColumn id="34" name="E" totalsRowFunction="sum" dataDxfId="429" totalsRowDxfId="182">
      <calculatedColumnFormula>COUNTIF(ParticipationSeptembre1621222324[[#This Row],[fecha de nacimiento]:[30]],Code2)</calculatedColumnFormula>
    </tableColumn>
    <tableColumn id="37" name="N1" totalsRowFunction="sum" dataDxfId="428" totalsRowDxfId="181">
      <calculatedColumnFormula>COUNTIF(ParticipationSeptembre1621222324[[#This Row],[fecha de nacimiento]:[30]],Code3)</calculatedColumnFormula>
    </tableColumn>
    <tableColumn id="36" name="P" totalsRowFunction="sum" dataDxfId="427" totalsRowDxfId="180">
      <calculatedColumnFormula>COUNTIF(ParticipationSeptembre1621222324[[#This Row],[fecha de nacimiento]:[30]],Code4)</calculatedColumnFormula>
    </tableColumn>
    <tableColumn id="33" name="Dias de ausencia" totalsRowDxfId="179">
      <calculatedColumnFormula>SUM(ParticipationSeptembre1621222324[[#This Row],[E]:[N1]])</calculatedColumnFormula>
    </tableColumn>
  </tableColumns>
  <tableStyleInfo name="Employee Absence Table" showFirstColumn="0" showLastColumn="1" showRowStripes="1" showColumnStripes="1"/>
  <extLst>
    <ext xmlns:x14="http://schemas.microsoft.com/office/spreadsheetml/2009/9/main" uri="{504A1905-F514-4f6f-8877-14C23A59335A}">
      <x14:table altText="Fiche de présence d’août" altTextSummary="Permet d’assurer le suivi de présence des élèves (R=en retard, E=excusé, N=non excusé, P=présent, N=école fermée) pour le mois de septembre."/>
    </ext>
  </extLst>
</table>
</file>

<file path=xl/theme/theme1.xml><?xml version="1.0" encoding="utf-8"?>
<a:theme xmlns:a="http://schemas.openxmlformats.org/drawingml/2006/main" name="Office Theme">
  <a:themeElements>
    <a:clrScheme name="Student Attendance Record">
      <a:dk1>
        <a:sysClr val="windowText" lastClr="000000"/>
      </a:dk1>
      <a:lt1>
        <a:sysClr val="window" lastClr="FFFFFF"/>
      </a:lt1>
      <a:dk2>
        <a:srgbClr val="645050"/>
      </a:dk2>
      <a:lt2>
        <a:srgbClr val="FAF0DC"/>
      </a:lt2>
      <a:accent1>
        <a:srgbClr val="4BACC6"/>
      </a:accent1>
      <a:accent2>
        <a:srgbClr val="FFD264"/>
      </a:accent2>
      <a:accent3>
        <a:srgbClr val="FF9354"/>
      </a:accent3>
      <a:accent4>
        <a:srgbClr val="B4D23C"/>
      </a:accent4>
      <a:accent5>
        <a:srgbClr val="AE701E"/>
      </a:accent5>
      <a:accent6>
        <a:srgbClr val="003CC9"/>
      </a:accent6>
      <a:hlink>
        <a:srgbClr val="457CFF"/>
      </a:hlink>
      <a:folHlink>
        <a:srgbClr val="EDC796"/>
      </a:folHlink>
    </a:clrScheme>
    <a:fontScheme name="Student Attendance Record">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ffice.microsoft.com/client/helppreview14.aspx?AssetId=HA010354866&amp;lcid=1036&amp;NS=EXCEL&amp;Version=14&amp;tl=2&amp;respos=0&amp;CTT=1&amp;queryid=d38d00d08c94494fb55f055eb667c2c9" TargetMode="External"/><Relationship Id="rId1" Type="http://schemas.openxmlformats.org/officeDocument/2006/relationships/hyperlink" Target="http://office.microsoft.com/client/helppreview14.aspx?AssetId=HA010354866&amp;lcid=1033&amp;NS=EXCEL&amp;Version=14&amp;tl=2&amp;respos=0&amp;CTT=1&amp;queryid=d38d00d08c94494fb55f055eb667c2c9"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4.bin"/><Relationship Id="rId5" Type="http://schemas.openxmlformats.org/officeDocument/2006/relationships/table" Target="../tables/table1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hyperlink" Target="mailto:heidi_casas@hotmail.com" TargetMode="External"/><Relationship Id="rId7" Type="http://schemas.openxmlformats.org/officeDocument/2006/relationships/table" Target="../tables/table1.xml"/><Relationship Id="rId2" Type="http://schemas.openxmlformats.org/officeDocument/2006/relationships/hyperlink" Target="mailto:heidi_casas@hotmail.com" TargetMode="External"/><Relationship Id="rId1" Type="http://schemas.openxmlformats.org/officeDocument/2006/relationships/hyperlink" Target="mailto:maiksan_132408@outlook.es" TargetMode="External"/><Relationship Id="rId6" Type="http://schemas.openxmlformats.org/officeDocument/2006/relationships/printerSettings" Target="../printerSettings/printerSettings2.bin"/><Relationship Id="rId5" Type="http://schemas.openxmlformats.org/officeDocument/2006/relationships/hyperlink" Target="mailto:maiksan132408@outlook.es" TargetMode="External"/><Relationship Id="rId4" Type="http://schemas.openxmlformats.org/officeDocument/2006/relationships/hyperlink" Target="mailto:susirpobag@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P32"/>
  <sheetViews>
    <sheetView showGridLines="0" showRowColHeaders="0" topLeftCell="A7" workbookViewId="0">
      <selection activeCell="P15" sqref="P15"/>
    </sheetView>
  </sheetViews>
  <sheetFormatPr baseColWidth="10" defaultColWidth="9.140625" defaultRowHeight="13.5"/>
  <cols>
    <col min="1" max="3" width="3.28515625" customWidth="1"/>
    <col min="4" max="4" width="3.85546875" customWidth="1"/>
    <col min="13" max="13" width="17.85546875" customWidth="1"/>
    <col min="14" max="14" width="2.42578125" hidden="1" customWidth="1"/>
  </cols>
  <sheetData>
    <row r="1" spans="1:16" ht="42" customHeight="1">
      <c r="A1" s="75" t="s">
        <v>79</v>
      </c>
      <c r="B1" s="75"/>
      <c r="C1" s="75"/>
      <c r="D1" s="75"/>
      <c r="E1" s="33"/>
      <c r="F1" s="33"/>
      <c r="G1" s="33"/>
      <c r="H1" s="33"/>
      <c r="I1" s="33"/>
      <c r="J1" s="33"/>
      <c r="K1" s="33"/>
      <c r="L1" s="33"/>
      <c r="M1" s="33"/>
      <c r="N1" s="33"/>
      <c r="O1" s="83"/>
      <c r="P1" s="83"/>
    </row>
    <row r="2" spans="1:16" ht="6.75" customHeight="1"/>
    <row r="3" spans="1:16" ht="17.25">
      <c r="B3" s="76" t="s">
        <v>70</v>
      </c>
      <c r="C3" s="76"/>
      <c r="D3" s="76"/>
      <c r="E3" s="76"/>
      <c r="F3" s="76"/>
    </row>
    <row r="4" spans="1:16" ht="28.5" customHeight="1">
      <c r="C4" s="186" t="s">
        <v>74</v>
      </c>
      <c r="D4" s="186"/>
      <c r="E4" s="186"/>
      <c r="F4" s="186"/>
      <c r="G4" s="186"/>
      <c r="H4" s="186"/>
      <c r="I4" s="186"/>
      <c r="J4" s="186"/>
      <c r="K4" s="186"/>
      <c r="L4" s="186"/>
      <c r="M4" s="186"/>
    </row>
    <row r="5" spans="1:16" ht="101.25" customHeight="1">
      <c r="D5" s="82" t="s">
        <v>66</v>
      </c>
      <c r="E5" s="187" t="s">
        <v>93</v>
      </c>
      <c r="F5" s="187"/>
      <c r="G5" s="187"/>
      <c r="H5" s="187"/>
      <c r="I5" s="187"/>
      <c r="J5" s="187"/>
      <c r="K5" s="187"/>
      <c r="L5" s="187"/>
      <c r="M5" s="187"/>
      <c r="N5" s="77"/>
    </row>
    <row r="6" spans="1:16" ht="61.5" customHeight="1">
      <c r="C6" s="77"/>
      <c r="D6" s="82" t="s">
        <v>67</v>
      </c>
      <c r="E6" s="187" t="s">
        <v>82</v>
      </c>
      <c r="F6" s="187"/>
      <c r="G6" s="187"/>
      <c r="H6" s="187"/>
      <c r="I6" s="187"/>
      <c r="J6" s="187"/>
      <c r="K6" s="187"/>
      <c r="L6" s="187"/>
      <c r="M6" s="187"/>
      <c r="N6" s="77"/>
    </row>
    <row r="7" spans="1:16" ht="104.25" customHeight="1">
      <c r="C7" s="77"/>
      <c r="D7" s="82" t="s">
        <v>68</v>
      </c>
      <c r="E7" s="187" t="s">
        <v>83</v>
      </c>
      <c r="F7" s="187"/>
      <c r="G7" s="187"/>
      <c r="H7" s="187"/>
      <c r="I7" s="187"/>
      <c r="J7" s="187"/>
      <c r="K7" s="187"/>
      <c r="L7" s="187"/>
      <c r="M7" s="187"/>
      <c r="N7" s="77"/>
    </row>
    <row r="8" spans="1:16" ht="57" customHeight="1">
      <c r="C8" s="77"/>
      <c r="D8" s="82"/>
      <c r="E8" s="188" t="s">
        <v>84</v>
      </c>
      <c r="F8" s="188"/>
      <c r="G8" s="188"/>
      <c r="H8" s="188"/>
      <c r="I8" s="188"/>
      <c r="J8" s="188"/>
      <c r="K8" s="188"/>
      <c r="L8" s="188"/>
      <c r="M8" s="188"/>
      <c r="N8" s="77"/>
    </row>
    <row r="9" spans="1:16" ht="16.5" customHeight="1">
      <c r="E9" s="189" t="s">
        <v>80</v>
      </c>
      <c r="F9" s="189"/>
      <c r="G9" s="189"/>
      <c r="H9" s="189"/>
    </row>
    <row r="10" spans="1:16" ht="6.75" customHeight="1"/>
    <row r="11" spans="1:16" ht="16.5" customHeight="1">
      <c r="B11" s="76" t="s">
        <v>71</v>
      </c>
      <c r="C11" s="76"/>
      <c r="D11" s="76"/>
      <c r="E11" s="76"/>
      <c r="F11" s="76"/>
      <c r="G11" s="76"/>
      <c r="H11" s="76"/>
      <c r="I11" s="76"/>
    </row>
    <row r="12" spans="1:16" s="78" customFormat="1" ht="35.25" customHeight="1">
      <c r="C12" s="186" t="s">
        <v>69</v>
      </c>
      <c r="D12" s="186"/>
      <c r="E12" s="186"/>
      <c r="F12" s="186"/>
      <c r="G12" s="186"/>
      <c r="H12" s="186"/>
      <c r="I12" s="186"/>
      <c r="J12" s="186"/>
      <c r="K12" s="186"/>
      <c r="L12" s="186"/>
      <c r="M12" s="186"/>
    </row>
    <row r="13" spans="1:16" ht="47.25" customHeight="1">
      <c r="D13" s="82" t="s">
        <v>66</v>
      </c>
      <c r="E13" s="187" t="s">
        <v>85</v>
      </c>
      <c r="F13" s="187"/>
      <c r="G13" s="187"/>
      <c r="H13" s="187"/>
      <c r="I13" s="187"/>
      <c r="J13" s="187"/>
      <c r="K13" s="187"/>
      <c r="L13" s="187"/>
      <c r="M13" s="187"/>
      <c r="N13" s="77"/>
      <c r="O13" s="77"/>
    </row>
    <row r="14" spans="1:16" ht="47.25" customHeight="1">
      <c r="D14" s="82"/>
      <c r="E14" s="187" t="s">
        <v>86</v>
      </c>
      <c r="F14" s="187"/>
      <c r="G14" s="187"/>
      <c r="H14" s="187"/>
      <c r="I14" s="187"/>
      <c r="J14" s="187"/>
      <c r="K14" s="187"/>
      <c r="L14" s="187"/>
      <c r="M14" s="187"/>
      <c r="N14" s="87"/>
      <c r="O14" s="87"/>
    </row>
    <row r="15" spans="1:16" s="79" customFormat="1" ht="73.5" customHeight="1">
      <c r="D15" s="82" t="s">
        <v>67</v>
      </c>
      <c r="E15" s="187" t="s">
        <v>87</v>
      </c>
      <c r="F15" s="187"/>
      <c r="G15" s="187"/>
      <c r="H15" s="187"/>
      <c r="I15" s="187"/>
      <c r="J15" s="187"/>
      <c r="K15" s="187"/>
      <c r="L15" s="187"/>
      <c r="M15" s="187"/>
      <c r="N15" s="80"/>
      <c r="O15" s="80"/>
    </row>
    <row r="16" spans="1:16" ht="6.75" customHeight="1"/>
    <row r="17" spans="2:13" ht="17.25">
      <c r="B17" s="76" t="s">
        <v>72</v>
      </c>
      <c r="C17" s="76"/>
      <c r="D17" s="76"/>
      <c r="E17" s="76"/>
      <c r="F17" s="76"/>
      <c r="G17" s="76"/>
      <c r="H17" s="76"/>
      <c r="I17" s="76"/>
      <c r="J17" s="76"/>
    </row>
    <row r="18" spans="2:13" ht="30.75" customHeight="1">
      <c r="B18" s="78"/>
      <c r="C18" s="186" t="s">
        <v>88</v>
      </c>
      <c r="D18" s="186"/>
      <c r="E18" s="186"/>
      <c r="F18" s="186"/>
      <c r="G18" s="186"/>
      <c r="H18" s="186"/>
      <c r="I18" s="186"/>
      <c r="J18" s="186"/>
      <c r="K18" s="186"/>
      <c r="L18" s="186"/>
      <c r="M18" s="186"/>
    </row>
    <row r="19" spans="2:13" ht="34.5" customHeight="1">
      <c r="B19" s="78"/>
      <c r="C19" s="84"/>
      <c r="D19" s="79" t="s">
        <v>65</v>
      </c>
      <c r="E19" s="186" t="s">
        <v>76</v>
      </c>
      <c r="F19" s="186"/>
      <c r="G19" s="186"/>
      <c r="H19" s="186"/>
      <c r="I19" s="186"/>
      <c r="J19" s="186"/>
      <c r="K19" s="186"/>
      <c r="L19" s="186"/>
      <c r="M19" s="186"/>
    </row>
    <row r="20" spans="2:13" s="79" customFormat="1" ht="34.5" customHeight="1">
      <c r="D20" s="79" t="s">
        <v>65</v>
      </c>
      <c r="E20" s="187" t="s">
        <v>91</v>
      </c>
      <c r="F20" s="187"/>
      <c r="G20" s="187"/>
      <c r="H20" s="187"/>
      <c r="I20" s="187"/>
      <c r="J20" s="187"/>
      <c r="K20" s="187"/>
      <c r="L20" s="187"/>
      <c r="M20" s="187"/>
    </row>
    <row r="21" spans="2:13" s="79" customFormat="1" ht="34.5" customHeight="1">
      <c r="D21" s="79" t="s">
        <v>65</v>
      </c>
      <c r="E21" s="187" t="s">
        <v>90</v>
      </c>
      <c r="F21" s="187"/>
      <c r="G21" s="187"/>
      <c r="H21" s="187"/>
      <c r="I21" s="187"/>
      <c r="J21" s="187"/>
      <c r="K21" s="187"/>
      <c r="L21" s="187"/>
      <c r="M21" s="187"/>
    </row>
    <row r="22" spans="2:13" s="79" customFormat="1" ht="46.5" customHeight="1">
      <c r="D22" s="79" t="s">
        <v>65</v>
      </c>
      <c r="E22" s="187" t="s">
        <v>77</v>
      </c>
      <c r="F22" s="187"/>
      <c r="G22" s="187"/>
      <c r="H22" s="187"/>
      <c r="I22" s="187"/>
      <c r="J22" s="187"/>
      <c r="K22" s="187"/>
      <c r="L22" s="187"/>
      <c r="M22" s="187"/>
    </row>
    <row r="23" spans="2:13" ht="6.75" customHeight="1"/>
    <row r="24" spans="2:13" s="79" customFormat="1" ht="16.5" customHeight="1">
      <c r="B24" s="85" t="s">
        <v>73</v>
      </c>
      <c r="C24" s="85"/>
      <c r="D24" s="85"/>
      <c r="E24" s="85"/>
      <c r="F24" s="85"/>
      <c r="G24" s="85"/>
      <c r="H24" s="85"/>
      <c r="I24" s="85"/>
      <c r="J24" s="85"/>
      <c r="K24" s="85"/>
    </row>
    <row r="25" spans="2:13" s="79" customFormat="1" ht="102" customHeight="1">
      <c r="C25" s="186" t="s">
        <v>89</v>
      </c>
      <c r="D25" s="186"/>
      <c r="E25" s="186"/>
      <c r="F25" s="186"/>
      <c r="G25" s="186"/>
      <c r="H25" s="186"/>
      <c r="I25" s="186"/>
      <c r="J25" s="186"/>
      <c r="K25" s="186"/>
      <c r="L25" s="186"/>
      <c r="M25" s="186"/>
    </row>
    <row r="26" spans="2:13" s="79" customFormat="1" ht="16.5" customHeight="1"/>
    <row r="27" spans="2:13" s="79" customFormat="1" ht="16.5" customHeight="1"/>
    <row r="28" spans="2:13" s="79" customFormat="1" ht="16.5" customHeight="1"/>
    <row r="29" spans="2:13" s="79" customFormat="1" ht="16.5" customHeight="1"/>
    <row r="30" spans="2:13" s="79" customFormat="1" ht="16.5" customHeight="1"/>
    <row r="31" spans="2:13" s="79" customFormat="1" ht="16.5" customHeight="1"/>
    <row r="32" spans="2:13" ht="16.5" customHeight="1"/>
  </sheetData>
  <mergeCells count="16">
    <mergeCell ref="E22:M22"/>
    <mergeCell ref="C25:M25"/>
    <mergeCell ref="E13:M13"/>
    <mergeCell ref="E15:M15"/>
    <mergeCell ref="C18:M18"/>
    <mergeCell ref="E19:M19"/>
    <mergeCell ref="E20:M20"/>
    <mergeCell ref="E21:M21"/>
    <mergeCell ref="E14:M14"/>
    <mergeCell ref="C12:M12"/>
    <mergeCell ref="C4:M4"/>
    <mergeCell ref="E5:M5"/>
    <mergeCell ref="E6:M6"/>
    <mergeCell ref="E7:M7"/>
    <mergeCell ref="E8:M8"/>
    <mergeCell ref="E9:H9"/>
  </mergeCells>
  <phoneticPr fontId="44" type="noConversion"/>
  <hyperlinks>
    <hyperlink ref="E9:F9" r:id="rId1" location="_Toc261352312" display="Customize a document theme."/>
    <hyperlink ref="E9:H9" r:id="rId2" location="_Toc261352312" display="Personnaliser un thème de document."/>
  </hyperlinks>
  <printOptions horizontalCentered="1"/>
  <pageMargins left="0.25" right="0.25" top="0.75" bottom="0.75" header="0.3" footer="0.3"/>
  <pageSetup scale="77" orientation="portrait" r:id="rId3"/>
  <ignoredErrors>
    <ignoredError sqref="D15 D5:D7 D13"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N346"/>
  <sheetViews>
    <sheetView showGridLines="0" zoomScaleNormal="100" workbookViewId="0">
      <pane xSplit="3" ySplit="6" topLeftCell="D7" activePane="bottomRight" state="frozen"/>
      <selection pane="topRight"/>
      <selection pane="bottomLeft"/>
      <selection pane="bottomRight" activeCell="D23" sqref="D23"/>
    </sheetView>
  </sheetViews>
  <sheetFormatPr baseColWidth="10" defaultColWidth="9.140625" defaultRowHeight="15" customHeight="1"/>
  <cols>
    <col min="1" max="1" width="2.7109375" style="12" customWidth="1"/>
    <col min="2" max="2" width="19.5703125" style="12" customWidth="1"/>
    <col min="3" max="3" width="24.28515625" style="13" customWidth="1"/>
    <col min="4" max="4" width="13.7109375" style="11" customWidth="1"/>
    <col min="5" max="34" width="5" style="11" customWidth="1"/>
    <col min="35" max="35" width="4.7109375" style="10" customWidth="1"/>
    <col min="36" max="36" width="4.7109375" style="11" customWidth="1"/>
    <col min="37" max="38" width="4.7109375" style="12" customWidth="1"/>
    <col min="39" max="39" width="12.42578125" style="12" customWidth="1"/>
    <col min="40" max="16384" width="9.140625" style="12"/>
  </cols>
  <sheetData>
    <row r="1" spans="1:40" s="1" customFormat="1" ht="42" customHeight="1">
      <c r="A1" s="102" t="s">
        <v>475</v>
      </c>
      <c r="B1" s="28"/>
      <c r="C1" s="28"/>
      <c r="D1" s="28"/>
      <c r="E1" s="29"/>
      <c r="F1" s="29"/>
      <c r="G1" s="29"/>
      <c r="H1" s="29"/>
      <c r="I1" s="178" t="s">
        <v>476</v>
      </c>
      <c r="J1" s="178"/>
      <c r="K1" s="178"/>
      <c r="L1" s="178"/>
      <c r="M1" s="178"/>
      <c r="N1" s="178"/>
      <c r="O1" s="178"/>
      <c r="P1" s="178"/>
      <c r="Q1" s="178"/>
      <c r="R1" s="178"/>
      <c r="S1" s="29"/>
      <c r="T1" s="29"/>
      <c r="U1" s="29"/>
      <c r="V1" s="29"/>
      <c r="W1" s="29"/>
      <c r="X1" s="29"/>
      <c r="Y1" s="29"/>
      <c r="Z1" s="29"/>
      <c r="AA1" s="29"/>
      <c r="AB1" s="29"/>
      <c r="AC1" s="28"/>
      <c r="AD1" s="28"/>
      <c r="AE1" s="28"/>
      <c r="AF1" s="28"/>
      <c r="AG1" s="30"/>
      <c r="AH1" s="28"/>
      <c r="AI1" s="28"/>
      <c r="AJ1" s="31"/>
      <c r="AK1" s="28"/>
      <c r="AL1" s="46" t="s">
        <v>117</v>
      </c>
      <c r="AM1" s="47">
        <v>2019</v>
      </c>
    </row>
    <row r="2" spans="1:40" customFormat="1" ht="13.5"/>
    <row r="3" spans="1:40" s="24" customFormat="1" ht="12.75" customHeight="1">
      <c r="B3" s="24" t="s">
        <v>116</v>
      </c>
      <c r="C3" s="34"/>
      <c r="D3" s="40" t="str">
        <f>Code1</f>
        <v>R</v>
      </c>
      <c r="E3" s="56" t="s">
        <v>118</v>
      </c>
      <c r="F3" s="48"/>
      <c r="H3" s="41" t="str">
        <f>Code2</f>
        <v>E</v>
      </c>
      <c r="I3" s="45" t="s">
        <v>119</v>
      </c>
      <c r="L3" s="42" t="str">
        <f>Code3</f>
        <v>N1</v>
      </c>
      <c r="M3" s="45" t="s">
        <v>123</v>
      </c>
      <c r="P3" s="43" t="str">
        <f>Code4</f>
        <v>P</v>
      </c>
      <c r="Q3" s="45" t="s">
        <v>121</v>
      </c>
      <c r="T3" s="44" t="str">
        <f>Code5</f>
        <v>N</v>
      </c>
      <c r="U3" s="45"/>
      <c r="W3"/>
      <c r="X3"/>
      <c r="Y3"/>
      <c r="AD3" s="23"/>
      <c r="AE3" s="23"/>
      <c r="AH3" s="25"/>
      <c r="AI3" s="26"/>
      <c r="AK3" s="27"/>
    </row>
    <row r="4" spans="1:40" customFormat="1" ht="16.5" customHeight="1"/>
    <row r="5" spans="1:40" s="2" customFormat="1" ht="18" customHeight="1">
      <c r="B5" s="176">
        <v>42277</v>
      </c>
      <c r="C5" s="49"/>
      <c r="D5" s="32"/>
      <c r="E5" s="110" t="s">
        <v>95</v>
      </c>
      <c r="F5" s="111" t="s">
        <v>96</v>
      </c>
      <c r="G5" s="112" t="s">
        <v>96</v>
      </c>
      <c r="H5" s="112" t="s">
        <v>96</v>
      </c>
      <c r="I5" s="112" t="s">
        <v>96</v>
      </c>
      <c r="J5" s="112" t="s">
        <v>97</v>
      </c>
      <c r="K5" s="112" t="s">
        <v>97</v>
      </c>
      <c r="L5" s="112" t="s">
        <v>97</v>
      </c>
      <c r="M5" s="112" t="s">
        <v>97</v>
      </c>
      <c r="N5" s="112" t="s">
        <v>98</v>
      </c>
      <c r="O5" s="112" t="s">
        <v>98</v>
      </c>
      <c r="P5" s="112" t="s">
        <v>98</v>
      </c>
      <c r="Q5" s="112" t="s">
        <v>99</v>
      </c>
      <c r="R5" s="112" t="s">
        <v>99</v>
      </c>
      <c r="S5" s="112" t="s">
        <v>99</v>
      </c>
      <c r="T5" s="112" t="s">
        <v>100</v>
      </c>
      <c r="U5" s="112" t="s">
        <v>100</v>
      </c>
      <c r="V5" s="112" t="s">
        <v>100</v>
      </c>
      <c r="W5" s="112" t="s">
        <v>100</v>
      </c>
      <c r="X5" s="112" t="s">
        <v>101</v>
      </c>
      <c r="Y5" s="112" t="s">
        <v>101</v>
      </c>
      <c r="Z5" s="112" t="s">
        <v>101</v>
      </c>
      <c r="AA5" s="112" t="s">
        <v>101</v>
      </c>
      <c r="AB5" s="112" t="s">
        <v>102</v>
      </c>
      <c r="AC5" s="112" t="s">
        <v>103</v>
      </c>
      <c r="AD5" s="112" t="s">
        <v>104</v>
      </c>
      <c r="AE5" s="112" t="s">
        <v>104</v>
      </c>
      <c r="AF5" s="112" t="s">
        <v>104</v>
      </c>
      <c r="AG5" s="112" t="s">
        <v>104</v>
      </c>
      <c r="AH5" s="112" t="s">
        <v>104</v>
      </c>
      <c r="AI5" s="190" t="s">
        <v>28</v>
      </c>
      <c r="AJ5" s="191"/>
      <c r="AK5" s="191"/>
      <c r="AL5" s="191"/>
      <c r="AM5" s="192"/>
    </row>
    <row r="6" spans="1:40" s="6" customFormat="1" ht="29.25" customHeight="1">
      <c r="B6" t="s">
        <v>451</v>
      </c>
      <c r="C6" t="s">
        <v>452</v>
      </c>
      <c r="D6" s="157" t="s">
        <v>552</v>
      </c>
      <c r="E6" s="3" t="s">
        <v>19</v>
      </c>
      <c r="F6" s="3" t="s">
        <v>2</v>
      </c>
      <c r="G6" s="3" t="s">
        <v>7</v>
      </c>
      <c r="H6" s="3" t="s">
        <v>13</v>
      </c>
      <c r="I6" s="3" t="s">
        <v>18</v>
      </c>
      <c r="J6" s="3" t="s">
        <v>1</v>
      </c>
      <c r="K6" s="3" t="s">
        <v>5</v>
      </c>
      <c r="L6" s="3" t="s">
        <v>11</v>
      </c>
      <c r="M6" s="3" t="s">
        <v>16</v>
      </c>
      <c r="N6" s="3" t="s">
        <v>8</v>
      </c>
      <c r="O6" s="3" t="s">
        <v>3</v>
      </c>
      <c r="P6" s="3" t="s">
        <v>9</v>
      </c>
      <c r="Q6" s="3" t="s">
        <v>6</v>
      </c>
      <c r="R6" s="3" t="s">
        <v>12</v>
      </c>
      <c r="S6" s="3" t="s">
        <v>17</v>
      </c>
      <c r="T6" s="3" t="s">
        <v>0</v>
      </c>
      <c r="U6" s="3" t="s">
        <v>4</v>
      </c>
      <c r="V6" s="3" t="s">
        <v>10</v>
      </c>
      <c r="W6" s="3" t="s">
        <v>15</v>
      </c>
      <c r="X6" s="3" t="s">
        <v>105</v>
      </c>
      <c r="Y6" s="3" t="s">
        <v>106</v>
      </c>
      <c r="Z6" s="3" t="s">
        <v>14</v>
      </c>
      <c r="AA6" s="3" t="s">
        <v>107</v>
      </c>
      <c r="AB6" s="3" t="s">
        <v>108</v>
      </c>
      <c r="AC6" s="3" t="s">
        <v>109</v>
      </c>
      <c r="AD6" s="3" t="s">
        <v>110</v>
      </c>
      <c r="AE6" s="3" t="s">
        <v>111</v>
      </c>
      <c r="AF6" s="3" t="s">
        <v>112</v>
      </c>
      <c r="AG6" s="3" t="s">
        <v>113</v>
      </c>
      <c r="AH6" s="3" t="s">
        <v>20</v>
      </c>
      <c r="AI6" s="81" t="s">
        <v>25</v>
      </c>
      <c r="AJ6" s="57" t="s">
        <v>26</v>
      </c>
      <c r="AK6" s="58" t="s">
        <v>81</v>
      </c>
      <c r="AL6" s="59" t="s">
        <v>21</v>
      </c>
      <c r="AM6" s="156" t="s">
        <v>122</v>
      </c>
      <c r="AN6" s="5"/>
    </row>
    <row r="7" spans="1:40" s="6" customFormat="1" ht="16.5" customHeight="1">
      <c r="A7" s="6">
        <v>1</v>
      </c>
      <c r="B7" s="134" t="s">
        <v>131</v>
      </c>
      <c r="C7" s="134" t="s">
        <v>132</v>
      </c>
      <c r="D7" s="16">
        <v>36601</v>
      </c>
      <c r="E7" s="16"/>
      <c r="F7" s="21"/>
      <c r="G7" s="21"/>
      <c r="H7" s="21"/>
      <c r="I7" s="21"/>
      <c r="J7" s="21"/>
      <c r="K7" s="21"/>
      <c r="L7" s="21"/>
      <c r="M7" s="21"/>
      <c r="N7" s="21"/>
      <c r="O7" s="21"/>
      <c r="P7" s="21"/>
      <c r="Q7" s="21"/>
      <c r="R7" s="21"/>
      <c r="S7" s="21"/>
      <c r="T7" s="21"/>
      <c r="U7" s="21"/>
      <c r="V7" s="21"/>
      <c r="W7" s="21"/>
      <c r="X7" s="21"/>
      <c r="Y7" s="21"/>
      <c r="Z7" s="21"/>
      <c r="AA7" s="21"/>
      <c r="AB7" s="21"/>
      <c r="AC7" s="21"/>
      <c r="AD7" s="21"/>
      <c r="AE7" s="21"/>
      <c r="AF7" s="22"/>
      <c r="AG7" s="20"/>
      <c r="AH7" s="20"/>
      <c r="AI7" s="7">
        <f>COUNTIF(ParticipationSeptembre1621222324[[#This Row],[fecha de nacimiento]:[30]],Code1)</f>
        <v>0</v>
      </c>
      <c r="AJ7" s="38">
        <f>COUNTIF(ParticipationSeptembre1621222324[[#This Row],[fecha de nacimiento]:[30]],Code2)</f>
        <v>0</v>
      </c>
      <c r="AK7" s="38">
        <f>COUNTIF(ParticipationSeptembre1621222324[[#This Row],[fecha de nacimiento]:[30]],Code3)</f>
        <v>0</v>
      </c>
      <c r="AL7" s="38">
        <f>COUNTIF(ParticipationSeptembre1621222324[[#This Row],[fecha de nacimiento]:[30]],Code4)</f>
        <v>0</v>
      </c>
      <c r="AM7" s="7">
        <f>SUM(ParticipationSeptembre1621222324[[#This Row],[E]:[N1]])</f>
        <v>0</v>
      </c>
      <c r="AN7" s="5"/>
    </row>
    <row r="8" spans="1:40" s="6" customFormat="1" ht="16.5" customHeight="1">
      <c r="A8" s="6">
        <f>1+A7</f>
        <v>2</v>
      </c>
      <c r="B8" s="134" t="s">
        <v>212</v>
      </c>
      <c r="C8" s="134" t="s">
        <v>213</v>
      </c>
      <c r="D8" s="16">
        <v>37685</v>
      </c>
      <c r="E8" s="16"/>
      <c r="F8" s="21"/>
      <c r="G8" s="21"/>
      <c r="H8" s="21"/>
      <c r="I8" s="21"/>
      <c r="J8" s="21"/>
      <c r="K8" s="21"/>
      <c r="L8" s="21"/>
      <c r="M8" s="21"/>
      <c r="N8" s="21"/>
      <c r="O8" s="21"/>
      <c r="P8" s="21"/>
      <c r="Q8" s="21"/>
      <c r="R8" s="21"/>
      <c r="S8" s="21"/>
      <c r="T8" s="21"/>
      <c r="U8" s="21"/>
      <c r="V8" s="21"/>
      <c r="W8" s="21"/>
      <c r="X8" s="21"/>
      <c r="Y8" s="21"/>
      <c r="Z8" s="21"/>
      <c r="AA8" s="21"/>
      <c r="AB8" s="21"/>
      <c r="AC8" s="21"/>
      <c r="AD8" s="21"/>
      <c r="AE8" s="21"/>
      <c r="AF8" s="22"/>
      <c r="AG8" s="20"/>
      <c r="AH8" s="20"/>
      <c r="AI8" s="7">
        <f>COUNTIF(ParticipationSeptembre1621222324[[#This Row],[fecha de nacimiento]:[30]],Code1)</f>
        <v>0</v>
      </c>
      <c r="AJ8" s="38">
        <f>COUNTIF(ParticipationSeptembre1621222324[[#This Row],[fecha de nacimiento]:[30]],Code2)</f>
        <v>0</v>
      </c>
      <c r="AK8" s="38">
        <f>COUNTIF(ParticipationSeptembre1621222324[[#This Row],[fecha de nacimiento]:[30]],Code3)</f>
        <v>0</v>
      </c>
      <c r="AL8" s="38">
        <f>COUNTIF(ParticipationSeptembre1621222324[[#This Row],[fecha de nacimiento]:[30]],Code4)</f>
        <v>0</v>
      </c>
      <c r="AM8" s="7">
        <f>SUM(ParticipationSeptembre1621222324[[#This Row],[E]:[N1]])</f>
        <v>0</v>
      </c>
      <c r="AN8" s="5"/>
    </row>
    <row r="9" spans="1:40" s="9" customFormat="1" ht="16.5" customHeight="1">
      <c r="A9" s="6">
        <f t="shared" ref="A9:A17" si="0">1+A8</f>
        <v>3</v>
      </c>
      <c r="B9" s="134" t="s">
        <v>223</v>
      </c>
      <c r="C9" s="134" t="s">
        <v>224</v>
      </c>
      <c r="D9" s="16">
        <v>36599</v>
      </c>
      <c r="E9" s="16"/>
      <c r="F9" s="21"/>
      <c r="G9" s="21"/>
      <c r="H9" s="21"/>
      <c r="I9" s="21"/>
      <c r="J9" s="21"/>
      <c r="K9" s="21"/>
      <c r="L9" s="21"/>
      <c r="M9" s="21"/>
      <c r="N9" s="21"/>
      <c r="O9" s="21"/>
      <c r="P9" s="21"/>
      <c r="Q9" s="21"/>
      <c r="R9" s="21"/>
      <c r="S9" s="21"/>
      <c r="T9" s="21"/>
      <c r="U9" s="21"/>
      <c r="V9" s="21"/>
      <c r="W9" s="21"/>
      <c r="X9" s="21"/>
      <c r="Y9" s="21"/>
      <c r="Z9" s="21"/>
      <c r="AA9" s="21"/>
      <c r="AB9" s="21"/>
      <c r="AC9" s="21"/>
      <c r="AD9" s="21"/>
      <c r="AE9" s="21"/>
      <c r="AF9" s="22"/>
      <c r="AG9" s="20"/>
      <c r="AH9" s="20"/>
      <c r="AI9" s="7">
        <f>COUNTIF(ParticipationSeptembre1621222324[[#This Row],[fecha de nacimiento]:[30]],Code1)</f>
        <v>0</v>
      </c>
      <c r="AJ9" s="38">
        <f>COUNTIF(ParticipationSeptembre1621222324[[#This Row],[fecha de nacimiento]:[30]],Code2)</f>
        <v>0</v>
      </c>
      <c r="AK9" s="38">
        <f>COUNTIF(ParticipationSeptembre1621222324[[#This Row],[fecha de nacimiento]:[30]],Code3)</f>
        <v>0</v>
      </c>
      <c r="AL9" s="38">
        <f>COUNTIF(ParticipationSeptembre1621222324[[#This Row],[fecha de nacimiento]:[30]],Code4)</f>
        <v>0</v>
      </c>
      <c r="AM9" s="7">
        <f>SUM(ParticipationSeptembre1621222324[[#This Row],[E]:[N1]])</f>
        <v>0</v>
      </c>
      <c r="AN9" s="8"/>
    </row>
    <row r="10" spans="1:40" ht="16.5" customHeight="1">
      <c r="A10" s="6">
        <f t="shared" si="0"/>
        <v>4</v>
      </c>
      <c r="B10" s="135" t="s">
        <v>335</v>
      </c>
      <c r="C10" s="135" t="s">
        <v>336</v>
      </c>
      <c r="D10" s="16">
        <v>36720</v>
      </c>
      <c r="E10" s="16"/>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2"/>
      <c r="AG10" s="20"/>
      <c r="AH10" s="20"/>
      <c r="AI10" s="7">
        <f>COUNTIF(ParticipationSeptembre1621222324[[#This Row],[fecha de nacimiento]:[30]],Code1)</f>
        <v>0</v>
      </c>
      <c r="AJ10" s="38">
        <f>COUNTIF(ParticipationSeptembre1621222324[[#This Row],[fecha de nacimiento]:[30]],Code2)</f>
        <v>0</v>
      </c>
      <c r="AK10" s="38">
        <f>COUNTIF(ParticipationSeptembre1621222324[[#This Row],[fecha de nacimiento]:[30]],Code3)</f>
        <v>0</v>
      </c>
      <c r="AL10" s="38">
        <f>COUNTIF(ParticipationSeptembre1621222324[[#This Row],[fecha de nacimiento]:[30]],Code4)</f>
        <v>0</v>
      </c>
      <c r="AM10" s="7">
        <f>SUM(ParticipationSeptembre1621222324[[#This Row],[E]:[N1]])</f>
        <v>0</v>
      </c>
      <c r="AN10" s="11"/>
    </row>
    <row r="11" spans="1:40" ht="16.5" customHeight="1">
      <c r="A11" s="6">
        <f t="shared" si="0"/>
        <v>5</v>
      </c>
      <c r="B11" s="135" t="s">
        <v>368</v>
      </c>
      <c r="C11" s="135" t="s">
        <v>369</v>
      </c>
      <c r="D11" s="16">
        <v>37273</v>
      </c>
      <c r="E11" s="16"/>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2"/>
      <c r="AG11" s="20"/>
      <c r="AH11" s="20"/>
      <c r="AI11" s="7">
        <f>COUNTIF(ParticipationSeptembre1621222324[[#This Row],[fecha de nacimiento]:[30]],Code1)</f>
        <v>0</v>
      </c>
      <c r="AJ11" s="38">
        <f>COUNTIF(ParticipationSeptembre1621222324[[#This Row],[fecha de nacimiento]:[30]],Code2)</f>
        <v>0</v>
      </c>
      <c r="AK11" s="38">
        <f>COUNTIF(ParticipationSeptembre1621222324[[#This Row],[fecha de nacimiento]:[30]],Code3)</f>
        <v>0</v>
      </c>
      <c r="AL11" s="38">
        <f>COUNTIF(ParticipationSeptembre1621222324[[#This Row],[fecha de nacimiento]:[30]],Code4)</f>
        <v>0</v>
      </c>
      <c r="AM11" s="7">
        <f>SUM(ParticipationSeptembre1621222324[[#This Row],[E]:[N1]])</f>
        <v>0</v>
      </c>
      <c r="AN11" s="11"/>
    </row>
    <row r="12" spans="1:40" ht="16.5" customHeight="1">
      <c r="A12" s="6">
        <f t="shared" si="0"/>
        <v>6</v>
      </c>
      <c r="B12" s="135" t="s">
        <v>432</v>
      </c>
      <c r="C12" s="135" t="s">
        <v>433</v>
      </c>
      <c r="D12" s="16">
        <v>36823</v>
      </c>
      <c r="E12" s="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8"/>
      <c r="AI12" s="11">
        <f>COUNTIF(ParticipationSeptembre1621222324[[#This Row],[fecha de nacimiento]:[30]],Code1)</f>
        <v>0</v>
      </c>
      <c r="AJ12" s="120">
        <f>COUNTIF(ParticipationSeptembre1621222324[[#This Row],[fecha de nacimiento]:[30]],Code2)</f>
        <v>0</v>
      </c>
      <c r="AK12" s="120">
        <f>COUNTIF(ParticipationSeptembre1621222324[[#This Row],[fecha de nacimiento]:[30]],Code3)</f>
        <v>0</v>
      </c>
      <c r="AL12" s="120">
        <f>COUNTIF(ParticipationSeptembre1621222324[[#This Row],[fecha de nacimiento]:[30]],Code4)</f>
        <v>0</v>
      </c>
      <c r="AM12" s="12">
        <f>SUM(ParticipationSeptembre1621222324[[#This Row],[E]:[N1]])</f>
        <v>0</v>
      </c>
    </row>
    <row r="13" spans="1:40" ht="16.5" customHeight="1">
      <c r="A13" s="6">
        <f t="shared" si="0"/>
        <v>7</v>
      </c>
      <c r="B13" s="143" t="s">
        <v>324</v>
      </c>
      <c r="C13" s="143" t="s">
        <v>406</v>
      </c>
      <c r="D13" s="16">
        <v>37363</v>
      </c>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9"/>
      <c r="AG13" s="7"/>
      <c r="AH13" s="7"/>
      <c r="AI13" s="7">
        <f>COUNTIF(ParticipationSeptembre1621222324[[#This Row],[fecha de nacimiento]:[30]],Code1)</f>
        <v>0</v>
      </c>
      <c r="AJ13" s="7">
        <f>COUNTIF(ParticipationSeptembre1621222324[[#This Row],[fecha de nacimiento]:[30]],Code2)</f>
        <v>0</v>
      </c>
      <c r="AK13" s="7">
        <f>COUNTIF(ParticipationSeptembre1621222324[[#This Row],[fecha de nacimiento]:[30]],Code3)</f>
        <v>0</v>
      </c>
      <c r="AL13" s="7">
        <f>COUNTIF(ParticipationSeptembre1621222324[[#This Row],[fecha de nacimiento]:[30]],Code4)</f>
        <v>0</v>
      </c>
      <c r="AM13" s="7">
        <f>SUM(ParticipationSeptembre1621222324[[#This Row],[E]:[N1]])</f>
        <v>0</v>
      </c>
    </row>
    <row r="14" spans="1:40" ht="16.5" customHeight="1">
      <c r="A14" s="6">
        <f t="shared" si="0"/>
        <v>8</v>
      </c>
      <c r="B14" s="143" t="s">
        <v>438</v>
      </c>
      <c r="C14" s="143" t="s">
        <v>439</v>
      </c>
      <c r="D14" s="16">
        <v>37961</v>
      </c>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8"/>
      <c r="AI14" s="11">
        <f>COUNTIF(ParticipationSeptembre1621222324[[#This Row],[fecha de nacimiento]:[30]],Code1)</f>
        <v>0</v>
      </c>
      <c r="AJ14" s="120">
        <f>COUNTIF(ParticipationSeptembre1621222324[[#This Row],[fecha de nacimiento]:[30]],Code2)</f>
        <v>0</v>
      </c>
      <c r="AK14" s="120">
        <f>COUNTIF(ParticipationSeptembre1621222324[[#This Row],[fecha de nacimiento]:[30]],Code3)</f>
        <v>0</v>
      </c>
      <c r="AL14" s="120">
        <f>COUNTIF(ParticipationSeptembre1621222324[[#This Row],[fecha de nacimiento]:[30]],Code4)</f>
        <v>0</v>
      </c>
      <c r="AM14" s="12">
        <f>SUM(ParticipationSeptembre1621222324[[#This Row],[E]:[N1]])</f>
        <v>0</v>
      </c>
    </row>
    <row r="15" spans="1:40" ht="16.5" customHeight="1">
      <c r="A15" s="6">
        <f t="shared" si="0"/>
        <v>9</v>
      </c>
      <c r="B15" s="135" t="s">
        <v>567</v>
      </c>
      <c r="C15" s="153" t="s">
        <v>568</v>
      </c>
      <c r="D15" s="169">
        <v>37373</v>
      </c>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8"/>
      <c r="AI15" s="11">
        <f>COUNTIF(ParticipationSeptembre1621222324[[#This Row],[fecha de nacimiento]:[30]],Code1)</f>
        <v>0</v>
      </c>
      <c r="AJ15" s="120">
        <f>COUNTIF(ParticipationSeptembre1621222324[[#This Row],[fecha de nacimiento]:[30]],Code2)</f>
        <v>0</v>
      </c>
      <c r="AK15" s="120">
        <f>COUNTIF(ParticipationSeptembre1621222324[[#This Row],[fecha de nacimiento]:[30]],Code3)</f>
        <v>0</v>
      </c>
      <c r="AL15" s="120">
        <f>COUNTIF(ParticipationSeptembre1621222324[[#This Row],[fecha de nacimiento]:[30]],Code4)</f>
        <v>0</v>
      </c>
      <c r="AM15" s="12">
        <f>SUM(ParticipationSeptembre1621222324[[#This Row],[E]:[N1]])</f>
        <v>0</v>
      </c>
    </row>
    <row r="16" spans="1:40" ht="16.5" customHeight="1">
      <c r="A16" s="6">
        <f t="shared" si="0"/>
        <v>10</v>
      </c>
      <c r="B16" s="135" t="s">
        <v>569</v>
      </c>
      <c r="C16" s="153" t="s">
        <v>568</v>
      </c>
      <c r="D16" s="169">
        <v>36658</v>
      </c>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8"/>
      <c r="AI16" s="11">
        <f>COUNTIF(ParticipationSeptembre1621222324[[#This Row],[fecha de nacimiento]:[30]],Code1)</f>
        <v>0</v>
      </c>
      <c r="AJ16" s="120">
        <f>COUNTIF(ParticipationSeptembre1621222324[[#This Row],[fecha de nacimiento]:[30]],Code2)</f>
        <v>0</v>
      </c>
      <c r="AK16" s="120">
        <f>COUNTIF(ParticipationSeptembre1621222324[[#This Row],[fecha de nacimiento]:[30]],Code3)</f>
        <v>0</v>
      </c>
      <c r="AL16" s="120">
        <f>COUNTIF(ParticipationSeptembre1621222324[[#This Row],[fecha de nacimiento]:[30]],Code4)</f>
        <v>0</v>
      </c>
      <c r="AM16" s="12">
        <f>SUM(ParticipationSeptembre1621222324[[#This Row],[E]:[N1]])</f>
        <v>0</v>
      </c>
    </row>
    <row r="17" spans="1:39" ht="16.5" customHeight="1">
      <c r="A17" s="6">
        <f t="shared" si="0"/>
        <v>11</v>
      </c>
      <c r="B17" s="143" t="s">
        <v>588</v>
      </c>
      <c r="C17" s="143" t="s">
        <v>566</v>
      </c>
      <c r="D17" s="169">
        <v>36104</v>
      </c>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8"/>
      <c r="AI17" s="11">
        <f>COUNTIF(ParticipationSeptembre1621222324[[#This Row],[fecha de nacimiento]:[30]],Code1)</f>
        <v>0</v>
      </c>
      <c r="AJ17" s="120">
        <f>COUNTIF(ParticipationSeptembre1621222324[[#This Row],[fecha de nacimiento]:[30]],Code2)</f>
        <v>0</v>
      </c>
      <c r="AK17" s="120">
        <f>COUNTIF(ParticipationSeptembre1621222324[[#This Row],[fecha de nacimiento]:[30]],Code3)</f>
        <v>0</v>
      </c>
      <c r="AL17" s="120">
        <f>COUNTIF(ParticipationSeptembre1621222324[[#This Row],[fecha de nacimiento]:[30]],Code4)</f>
        <v>0</v>
      </c>
      <c r="AM17" s="12">
        <f>SUM(ParticipationSeptembre1621222324[[#This Row],[E]:[N1]])</f>
        <v>0</v>
      </c>
    </row>
    <row r="18" spans="1:39" ht="16.5" customHeight="1">
      <c r="B18" s="134" t="s">
        <v>604</v>
      </c>
      <c r="C18" s="134" t="s">
        <v>589</v>
      </c>
      <c r="D18" s="169">
        <v>37520</v>
      </c>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8"/>
      <c r="AI18" s="11">
        <f>COUNTIF(ParticipationSeptembre1621222324[[#This Row],[fecha de nacimiento]:[30]],Code1)</f>
        <v>0</v>
      </c>
      <c r="AJ18" s="120">
        <f>COUNTIF(ParticipationSeptembre1621222324[[#This Row],[fecha de nacimiento]:[30]],Code2)</f>
        <v>0</v>
      </c>
      <c r="AK18" s="120">
        <f>COUNTIF(ParticipationSeptembre1621222324[[#This Row],[fecha de nacimiento]:[30]],Code3)</f>
        <v>0</v>
      </c>
      <c r="AL18" s="120">
        <f>COUNTIF(ParticipationSeptembre1621222324[[#This Row],[fecha de nacimiento]:[30]],Code4)</f>
        <v>0</v>
      </c>
      <c r="AM18" s="12">
        <f>SUM(ParticipationSeptembre1621222324[[#This Row],[E]:[N1]])</f>
        <v>0</v>
      </c>
    </row>
    <row r="19" spans="1:39" ht="16.5" customHeight="1">
      <c r="B19" s="134" t="s">
        <v>324</v>
      </c>
      <c r="C19" s="134" t="s">
        <v>589</v>
      </c>
      <c r="D19" s="169">
        <v>35143</v>
      </c>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8"/>
      <c r="AI19" s="11">
        <f>COUNTIF(ParticipationSeptembre1621222324[[#This Row],[fecha de nacimiento]:[30]],Code1)</f>
        <v>0</v>
      </c>
      <c r="AJ19" s="120">
        <f>COUNTIF(ParticipationSeptembre1621222324[[#This Row],[fecha de nacimiento]:[30]],Code2)</f>
        <v>0</v>
      </c>
      <c r="AK19" s="120">
        <f>COUNTIF(ParticipationSeptembre1621222324[[#This Row],[fecha de nacimiento]:[30]],Code3)</f>
        <v>0</v>
      </c>
      <c r="AL19" s="120">
        <f>COUNTIF(ParticipationSeptembre1621222324[[#This Row],[fecha de nacimiento]:[30]],Code4)</f>
        <v>0</v>
      </c>
      <c r="AM19" s="12">
        <f>SUM(ParticipationSeptembre1621222324[[#This Row],[E]:[N1]])</f>
        <v>0</v>
      </c>
    </row>
    <row r="20" spans="1:39" ht="16.5" customHeight="1">
      <c r="B20" s="134" t="s">
        <v>597</v>
      </c>
      <c r="C20" s="134" t="s">
        <v>598</v>
      </c>
      <c r="D20" s="212">
        <v>37608</v>
      </c>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8"/>
      <c r="AI20" s="11">
        <f>COUNTIF(ParticipationSeptembre1621222324[[#This Row],[fecha de nacimiento]:[30]],Code1)</f>
        <v>0</v>
      </c>
      <c r="AJ20" s="120">
        <f>COUNTIF(ParticipationSeptembre1621222324[[#This Row],[fecha de nacimiento]:[30]],Code2)</f>
        <v>0</v>
      </c>
      <c r="AK20" s="120">
        <f>COUNTIF(ParticipationSeptembre1621222324[[#This Row],[fecha de nacimiento]:[30]],Code3)</f>
        <v>0</v>
      </c>
      <c r="AL20" s="120">
        <f>COUNTIF(ParticipationSeptembre1621222324[[#This Row],[fecha de nacimiento]:[30]],Code4)</f>
        <v>0</v>
      </c>
      <c r="AM20" s="12">
        <f>SUM(ParticipationSeptembre1621222324[[#This Row],[E]:[N1]])</f>
        <v>0</v>
      </c>
    </row>
    <row r="21" spans="1:39" ht="16.5" customHeight="1">
      <c r="B21" s="104"/>
      <c r="C21" s="105" t="s">
        <v>78</v>
      </c>
      <c r="D21" s="107">
        <f>COUNTIF(ParticipationSeptembre1621222324[fecha de nacimiento],"N1")+COUNTIF(ParticipationSeptembre1621222324[fecha de nacimiento],"E")</f>
        <v>0</v>
      </c>
      <c r="E21" s="107">
        <f>COUNTIF(ParticipationSeptembre1621222324[29],"N1")+COUNTIF(ParticipationSeptembre1621222324[29],"E")</f>
        <v>0</v>
      </c>
      <c r="F21" s="107">
        <f>COUNTIF(ParticipationSeptembre1621222324[6],"N1")+COUNTIF(ParticipationSeptembre1621222324[6],"E")</f>
        <v>0</v>
      </c>
      <c r="G21" s="107">
        <f>COUNTIF(ParticipationSeptembre1621222324[13],"N1")+COUNTIF(ParticipationSeptembre1621222324[13],"E")</f>
        <v>0</v>
      </c>
      <c r="H21" s="107">
        <f>COUNTIF(ParticipationSeptembre1621222324[20],"N1")+COUNTIF(ParticipationSeptembre1621222324[20],"E")</f>
        <v>0</v>
      </c>
      <c r="I21" s="107">
        <f>COUNTIF(ParticipationSeptembre1621222324[27],"N1")+COUNTIF(ParticipationSeptembre1621222324[27],"E")</f>
        <v>0</v>
      </c>
      <c r="J21" s="107">
        <f>COUNTIF(ParticipationSeptembre1621222324[3],"N1")+COUNTIF(ParticipationSeptembre1621222324[3],"E")</f>
        <v>0</v>
      </c>
      <c r="K21" s="107">
        <f>COUNTIF(ParticipationSeptembre1621222324[10],"N1")+COUNTIF(ParticipationSeptembre1621222324[10],"E")</f>
        <v>0</v>
      </c>
      <c r="L21" s="107">
        <f>COUNTIF(ParticipationSeptembre1621222324[17],"N1")+COUNTIF(ParticipationSeptembre1621222324[17],"E")</f>
        <v>0</v>
      </c>
      <c r="M21" s="107">
        <f>COUNTIF(ParticipationSeptembre1621222324[24],"N1")+COUNTIF(ParticipationSeptembre1621222324[24],"E")</f>
        <v>0</v>
      </c>
      <c r="N21" s="107">
        <f>COUNTIF(ParticipationSeptembre1621222324[14],"N1")+COUNTIF(ParticipationSeptembre1621222324[14],"E")</f>
        <v>0</v>
      </c>
      <c r="O21" s="107">
        <f>COUNTIF(ParticipationSeptembre1621222324[8],"N1")+COUNTIF(ParticipationSeptembre1621222324[8],"E")</f>
        <v>0</v>
      </c>
      <c r="P21" s="107">
        <f>COUNTIF(ParticipationSeptembre1621222324[15],"N1")+COUNTIF(ParticipationSeptembre1621222324[15],"E")</f>
        <v>0</v>
      </c>
      <c r="Q21" s="107">
        <f>COUNTIF(ParticipationSeptembre1621222324[12],"N1")+COUNTIF(ParticipationSeptembre1621222324[12],"E")</f>
        <v>0</v>
      </c>
      <c r="R21" s="107">
        <f>COUNTIF(ParticipationSeptembre1621222324[19],"N1")+COUNTIF(ParticipationSeptembre1621222324[19],"E")</f>
        <v>0</v>
      </c>
      <c r="S21" s="107">
        <f>COUNTIF(ParticipationSeptembre1621222324[26],"N1")+COUNTIF(ParticipationSeptembre1621222324[26],"E")</f>
        <v>0</v>
      </c>
      <c r="T21" s="107">
        <f>COUNTIF(ParticipationSeptembre1621222324[2],"N1")+COUNTIF(ParticipationSeptembre1621222324[2],"E")</f>
        <v>0</v>
      </c>
      <c r="U21" s="107">
        <f>COUNTIF(ParticipationSeptembre1621222324[9],"N1")+COUNTIF(ParticipationSeptembre1621222324[9],"E")</f>
        <v>0</v>
      </c>
      <c r="V21" s="107">
        <f>COUNTIF(ParticipationSeptembre1621222324[16],"N1")+COUNTIF(ParticipationSeptembre1621222324[16],"E")</f>
        <v>0</v>
      </c>
      <c r="W21" s="107">
        <f>COUNTIF(ParticipationSeptembre1621222324[23],"N1")+COUNTIF(ParticipationSeptembre1621222324[23],"E")</f>
        <v>0</v>
      </c>
      <c r="X21" s="107">
        <f>COUNTIF(ParticipationSeptembre1621222324[*8],"N1")+COUNTIF(ParticipationSeptembre1621222324[*8],"E")</f>
        <v>0</v>
      </c>
      <c r="Y21" s="107">
        <f>COUNTIF(ParticipationSeptembre1621222324[*15],"N1")+COUNTIF(ParticipationSeptembre1621222324[*15],"E")</f>
        <v>0</v>
      </c>
      <c r="Z21" s="107">
        <f>COUNTIF(ParticipationSeptembre1621222324[22],"N1")+COUNTIF(ParticipationSeptembre1621222324[22],"E")</f>
        <v>0</v>
      </c>
      <c r="AA21" s="107">
        <f>COUNTIF(ParticipationSeptembre1621222324[*29],"N1")+COUNTIF(ParticipationSeptembre1621222324[*29],"E")</f>
        <v>0</v>
      </c>
      <c r="AB21" s="107">
        <f>COUNTIF(ParticipationSeptembre1621222324[*19],"N1")+COUNTIF(ParticipationSeptembre1621222324[*19],"E")</f>
        <v>0</v>
      </c>
      <c r="AC21" s="107">
        <f>COUNTIF(ParticipationSeptembre1621222324[*26],"N1")+COUNTIF(ParticipationSeptembre1621222324[*26],"E")</f>
        <v>0</v>
      </c>
      <c r="AD21" s="107">
        <f>COUNTIF(ParticipationSeptembre1621222324[*3],"N1")+COUNTIF(ParticipationSeptembre1621222324[*3],"E")</f>
        <v>0</v>
      </c>
      <c r="AE21" s="107">
        <f>COUNTIF(ParticipationSeptembre1621222324[*10],"N1")+COUNTIF(ParticipationSeptembre1621222324[*10],"E")</f>
        <v>0</v>
      </c>
      <c r="AF21" s="107">
        <f>COUNTIF(ParticipationSeptembre1621222324[*17],"N1")+COUNTIF(ParticipationSeptembre1621222324[*17],"E")</f>
        <v>0</v>
      </c>
      <c r="AG21" s="107">
        <f>COUNTIF(ParticipationSeptembre1621222324[*24],"N1")+COUNTIF(ParticipationSeptembre1621222324[*24],"E")</f>
        <v>0</v>
      </c>
      <c r="AH21" s="107">
        <f>COUNTIF(ParticipationSeptembre1621222324[30],"N1")+COUNTIF(ParticipationSeptembre1621222324[30],"E")</f>
        <v>0</v>
      </c>
      <c r="AI21" s="107">
        <f>SUBTOTAL(109,ParticipationSeptembre1621222324[R])</f>
        <v>0</v>
      </c>
      <c r="AJ21" s="107">
        <f>SUBTOTAL(109,ParticipationSeptembre1621222324[E])</f>
        <v>0</v>
      </c>
      <c r="AK21" s="107">
        <f>SUBTOTAL(109,ParticipationSeptembre1621222324[N1])</f>
        <v>0</v>
      </c>
      <c r="AL21" s="107">
        <f>SUBTOTAL(109,ParticipationSeptembre1621222324[P])</f>
        <v>0</v>
      </c>
      <c r="AM21" s="106"/>
    </row>
    <row r="22" spans="1:39" ht="16.5" customHeight="1"/>
    <row r="23" spans="1:39" ht="16.5" customHeight="1"/>
    <row r="24" spans="1:39" ht="16.5" customHeight="1"/>
    <row r="25" spans="1:39" ht="16.5" customHeight="1"/>
    <row r="26" spans="1:39" ht="16.5" customHeight="1"/>
    <row r="27" spans="1:39" ht="16.5" customHeight="1"/>
    <row r="28" spans="1:39" ht="16.5" customHeight="1"/>
    <row r="29" spans="1:39" ht="16.5" customHeight="1"/>
    <row r="30" spans="1:39" ht="16.5" customHeight="1"/>
    <row r="31" spans="1:39" ht="16.5" customHeight="1"/>
    <row r="32" spans="1:39"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sheetData>
  <sheetProtection formatCells="0" formatColumns="0" formatRows="0" insertColumns="0" insertRows="0" insertHyperlinks="0" deleteColumns="0" deleteRows="0" sort="0" autoFilter="0" pivotTables="0"/>
  <mergeCells count="1">
    <mergeCell ref="AI5:AM5"/>
  </mergeCells>
  <conditionalFormatting sqref="AM7:AM20">
    <cfRule type="dataBar" priority="6">
      <dataBar>
        <cfvo type="min"/>
        <cfvo type="num" val="31"/>
        <color theme="4"/>
      </dataBar>
      <extLst>
        <ext xmlns:x14="http://schemas.microsoft.com/office/spreadsheetml/2009/9/main" uri="{B025F937-C7B1-47D3-B67F-A62EFF666E3E}">
          <x14:id>{03FFBD86-04D5-4AF2-8DFA-04DE3D85F448}</x14:id>
        </ext>
      </extLst>
    </cfRule>
  </conditionalFormatting>
  <conditionalFormatting sqref="AG7:AI20">
    <cfRule type="expression" dxfId="93" priority="7" stopIfTrue="1">
      <formula>AG7=Code2</formula>
    </cfRule>
  </conditionalFormatting>
  <conditionalFormatting sqref="AG7:AH20">
    <cfRule type="expression" dxfId="92" priority="8" stopIfTrue="1">
      <formula>AG7=Code5</formula>
    </cfRule>
    <cfRule type="expression" dxfId="91" priority="9" stopIfTrue="1">
      <formula>AG7=Code4</formula>
    </cfRule>
    <cfRule type="expression" dxfId="90" priority="10" stopIfTrue="1">
      <formula>AG7=Code3</formula>
    </cfRule>
    <cfRule type="expression" dxfId="89" priority="11" stopIfTrue="1">
      <formula>AG7=Code1</formula>
    </cfRule>
  </conditionalFormatting>
  <conditionalFormatting sqref="D7:AF20">
    <cfRule type="expression" dxfId="88" priority="1" stopIfTrue="1">
      <formula>D7=Code2</formula>
    </cfRule>
  </conditionalFormatting>
  <conditionalFormatting sqref="D7:AF20">
    <cfRule type="expression" dxfId="87" priority="2" stopIfTrue="1">
      <formula>D7=Code5</formula>
    </cfRule>
    <cfRule type="expression" dxfId="86" priority="3" stopIfTrue="1">
      <formula>D7=Code4</formula>
    </cfRule>
    <cfRule type="expression" dxfId="85" priority="4" stopIfTrue="1">
      <formula>D7=Code3</formula>
    </cfRule>
    <cfRule type="expression" dxfId="84" priority="5" stopIfTrue="1">
      <formula>D7=Code1</formula>
    </cfRule>
  </conditionalFormatting>
  <dataValidations count="1">
    <dataValidation type="list" errorStyle="warning" allowBlank="1" showInputMessage="1" showErrorMessage="1" errorTitle="Whoops!" error="The Student ID you entered isn't on the Student List sheet. You can click Yes to use what you entered but that Student ID won't be available on the Student Attendance Report sheet." sqref="B7:B20">
      <formula1>IDÉtudiant</formula1>
    </dataValidation>
  </dataValidations>
  <printOptions horizontalCentered="1"/>
  <pageMargins left="0.51181102362204722" right="0.51181102362204722" top="0.74803149606299213" bottom="0.74803149606299213" header="0.31496062992125984" footer="0.31496062992125984"/>
  <pageSetup paperSize="5" scale="70" fitToHeight="0" orientation="landscape" r:id="rId1"/>
  <headerFooter>
    <oddHeader>&amp;CMisión Santa Teresa de Avila
Lista de presencia de los grupos de catequesis
2019-2020</oddHeader>
  </headerFooter>
  <ignoredErrors>
    <ignoredError sqref="B7:B12" listDataValidation="1"/>
  </ignoredError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03FFBD86-04D5-4AF2-8DFA-04DE3D85F448}">
            <x14:dataBar minLength="0" maxLength="100" border="1" negativeBarBorderColorSameAsPositive="0">
              <x14:cfvo type="autoMin"/>
              <x14:cfvo type="num">
                <xm:f>31</xm:f>
              </x14:cfvo>
              <x14:borderColor theme="4"/>
              <x14:negativeFillColor rgb="FFFF0000"/>
              <x14:negativeBorderColor rgb="FFFF0000"/>
              <x14:axisColor rgb="FF000000"/>
            </x14:dataBar>
          </x14:cfRule>
          <xm:sqref>AM7:AM20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N346"/>
  <sheetViews>
    <sheetView showGridLines="0" zoomScaleNormal="100" workbookViewId="0">
      <pane xSplit="3" ySplit="6" topLeftCell="D7" activePane="bottomRight" state="frozen"/>
      <selection pane="topRight"/>
      <selection pane="bottomLeft"/>
      <selection pane="bottomRight" activeCell="C15" sqref="C15"/>
    </sheetView>
  </sheetViews>
  <sheetFormatPr baseColWidth="10" defaultColWidth="9.140625" defaultRowHeight="15" customHeight="1"/>
  <cols>
    <col min="1" max="1" width="2.7109375" style="12" customWidth="1"/>
    <col min="2" max="2" width="19.5703125" style="12" customWidth="1"/>
    <col min="3" max="3" width="24.5703125" style="13" customWidth="1"/>
    <col min="4" max="4" width="11.5703125" style="11" customWidth="1"/>
    <col min="5" max="34" width="5" style="11" customWidth="1"/>
    <col min="35" max="35" width="4.7109375" style="10" customWidth="1"/>
    <col min="36" max="36" width="4.7109375" style="11" customWidth="1"/>
    <col min="37" max="38" width="4.7109375" style="12" customWidth="1"/>
    <col min="39" max="39" width="11.85546875" style="12" customWidth="1"/>
    <col min="40" max="16384" width="9.140625" style="12"/>
  </cols>
  <sheetData>
    <row r="1" spans="1:40" s="1" customFormat="1" ht="42" customHeight="1">
      <c r="A1" s="102" t="s">
        <v>471</v>
      </c>
      <c r="B1" s="28"/>
      <c r="C1" s="28"/>
      <c r="D1" s="28"/>
      <c r="E1" s="29"/>
      <c r="F1" s="29"/>
      <c r="G1" s="29"/>
      <c r="H1" s="29"/>
      <c r="I1" s="29" t="s">
        <v>472</v>
      </c>
      <c r="J1" s="29"/>
      <c r="K1" s="29"/>
      <c r="L1" s="29"/>
      <c r="M1" s="29"/>
      <c r="N1" s="29"/>
      <c r="O1" s="29"/>
      <c r="P1" s="29"/>
      <c r="Q1" s="29"/>
      <c r="R1" s="29"/>
      <c r="S1" s="29"/>
      <c r="T1" s="29"/>
      <c r="U1" s="29"/>
      <c r="V1" s="29"/>
      <c r="W1" s="29"/>
      <c r="X1" s="29"/>
      <c r="Y1" s="29"/>
      <c r="Z1" s="29"/>
      <c r="AA1" s="29"/>
      <c r="AB1" s="29"/>
      <c r="AC1" s="28"/>
      <c r="AD1" s="28"/>
      <c r="AE1" s="28"/>
      <c r="AF1" s="28"/>
      <c r="AG1" s="30"/>
      <c r="AH1" s="28"/>
      <c r="AI1" s="28"/>
      <c r="AJ1" s="31"/>
      <c r="AK1" s="28"/>
      <c r="AL1" s="46" t="s">
        <v>117</v>
      </c>
      <c r="AM1" s="47">
        <v>2019</v>
      </c>
    </row>
    <row r="2" spans="1:40" customFormat="1" ht="13.5"/>
    <row r="3" spans="1:40" s="24" customFormat="1" ht="12.75" customHeight="1">
      <c r="C3" s="34"/>
      <c r="D3" s="40" t="str">
        <f>Code1</f>
        <v>R</v>
      </c>
      <c r="E3" s="56" t="s">
        <v>118</v>
      </c>
      <c r="F3" s="48"/>
      <c r="H3" s="41" t="str">
        <f>Code2</f>
        <v>E</v>
      </c>
      <c r="I3" s="45" t="s">
        <v>119</v>
      </c>
      <c r="L3" s="42" t="str">
        <f>Code3</f>
        <v>N1</v>
      </c>
      <c r="M3" s="45" t="s">
        <v>123</v>
      </c>
      <c r="P3" s="43" t="str">
        <f>Code4</f>
        <v>P</v>
      </c>
      <c r="Q3" s="45" t="s">
        <v>121</v>
      </c>
      <c r="T3" s="44" t="str">
        <f>Code5</f>
        <v>N</v>
      </c>
      <c r="U3" s="45"/>
      <c r="W3"/>
      <c r="X3"/>
      <c r="Y3"/>
      <c r="AD3" s="23"/>
      <c r="AE3" s="23"/>
      <c r="AH3" s="25"/>
      <c r="AI3" s="26"/>
      <c r="AK3" s="27"/>
    </row>
    <row r="4" spans="1:40" customFormat="1" ht="16.5" customHeight="1"/>
    <row r="5" spans="1:40" s="2" customFormat="1" ht="18" customHeight="1">
      <c r="B5" s="103">
        <v>43737</v>
      </c>
      <c r="C5" s="49"/>
      <c r="D5" s="32"/>
      <c r="E5" s="110" t="s">
        <v>95</v>
      </c>
      <c r="F5" s="111" t="s">
        <v>96</v>
      </c>
      <c r="G5" s="112" t="s">
        <v>96</v>
      </c>
      <c r="H5" s="112" t="s">
        <v>96</v>
      </c>
      <c r="I5" s="112" t="s">
        <v>96</v>
      </c>
      <c r="J5" s="112" t="s">
        <v>97</v>
      </c>
      <c r="K5" s="112" t="s">
        <v>97</v>
      </c>
      <c r="L5" s="112" t="s">
        <v>97</v>
      </c>
      <c r="M5" s="112" t="s">
        <v>97</v>
      </c>
      <c r="N5" s="112" t="s">
        <v>98</v>
      </c>
      <c r="O5" s="112" t="s">
        <v>98</v>
      </c>
      <c r="P5" s="112" t="s">
        <v>98</v>
      </c>
      <c r="Q5" s="112" t="s">
        <v>99</v>
      </c>
      <c r="R5" s="112" t="s">
        <v>99</v>
      </c>
      <c r="S5" s="112" t="s">
        <v>99</v>
      </c>
      <c r="T5" s="112" t="s">
        <v>100</v>
      </c>
      <c r="U5" s="112" t="s">
        <v>100</v>
      </c>
      <c r="V5" s="112" t="s">
        <v>100</v>
      </c>
      <c r="W5" s="112" t="s">
        <v>100</v>
      </c>
      <c r="X5" s="112" t="s">
        <v>101</v>
      </c>
      <c r="Y5" s="112" t="s">
        <v>101</v>
      </c>
      <c r="Z5" s="112" t="s">
        <v>101</v>
      </c>
      <c r="AA5" s="112" t="s">
        <v>101</v>
      </c>
      <c r="AB5" s="112" t="s">
        <v>102</v>
      </c>
      <c r="AC5" s="112" t="s">
        <v>103</v>
      </c>
      <c r="AD5" s="112" t="s">
        <v>104</v>
      </c>
      <c r="AE5" s="112" t="s">
        <v>104</v>
      </c>
      <c r="AF5" s="112" t="s">
        <v>104</v>
      </c>
      <c r="AG5" s="112" t="s">
        <v>104</v>
      </c>
      <c r="AH5" s="112" t="s">
        <v>104</v>
      </c>
      <c r="AI5" s="190" t="s">
        <v>28</v>
      </c>
      <c r="AJ5" s="191"/>
      <c r="AK5" s="191"/>
      <c r="AL5" s="191"/>
      <c r="AM5" s="192"/>
    </row>
    <row r="6" spans="1:40" s="6" customFormat="1" ht="27.75" customHeight="1">
      <c r="B6" t="s">
        <v>451</v>
      </c>
      <c r="C6" t="s">
        <v>452</v>
      </c>
      <c r="D6" s="159" t="s">
        <v>552</v>
      </c>
      <c r="E6" s="3" t="s">
        <v>19</v>
      </c>
      <c r="F6" s="3" t="s">
        <v>2</v>
      </c>
      <c r="G6" s="3" t="s">
        <v>7</v>
      </c>
      <c r="H6" s="3" t="s">
        <v>13</v>
      </c>
      <c r="I6" s="3" t="s">
        <v>18</v>
      </c>
      <c r="J6" s="3" t="s">
        <v>1</v>
      </c>
      <c r="K6" s="3" t="s">
        <v>5</v>
      </c>
      <c r="L6" s="3" t="s">
        <v>11</v>
      </c>
      <c r="M6" s="3" t="s">
        <v>16</v>
      </c>
      <c r="N6" s="3" t="s">
        <v>8</v>
      </c>
      <c r="O6" s="3" t="s">
        <v>3</v>
      </c>
      <c r="P6" s="3" t="s">
        <v>9</v>
      </c>
      <c r="Q6" s="3" t="s">
        <v>6</v>
      </c>
      <c r="R6" s="3" t="s">
        <v>12</v>
      </c>
      <c r="S6" s="3" t="s">
        <v>17</v>
      </c>
      <c r="T6" s="3" t="s">
        <v>0</v>
      </c>
      <c r="U6" s="3" t="s">
        <v>4</v>
      </c>
      <c r="V6" s="3" t="s">
        <v>10</v>
      </c>
      <c r="W6" s="3" t="s">
        <v>15</v>
      </c>
      <c r="X6" s="3" t="s">
        <v>105</v>
      </c>
      <c r="Y6" s="3" t="s">
        <v>106</v>
      </c>
      <c r="Z6" s="3" t="s">
        <v>14</v>
      </c>
      <c r="AA6" s="3" t="s">
        <v>107</v>
      </c>
      <c r="AB6" s="3" t="s">
        <v>108</v>
      </c>
      <c r="AC6" s="3" t="s">
        <v>109</v>
      </c>
      <c r="AD6" s="3" t="s">
        <v>110</v>
      </c>
      <c r="AE6" s="3" t="s">
        <v>111</v>
      </c>
      <c r="AF6" s="3" t="s">
        <v>112</v>
      </c>
      <c r="AG6" s="3" t="s">
        <v>113</v>
      </c>
      <c r="AH6" s="3" t="s">
        <v>20</v>
      </c>
      <c r="AI6" s="81" t="s">
        <v>25</v>
      </c>
      <c r="AJ6" s="57" t="s">
        <v>26</v>
      </c>
      <c r="AK6" s="58" t="s">
        <v>81</v>
      </c>
      <c r="AL6" s="59" t="s">
        <v>21</v>
      </c>
      <c r="AM6" s="156" t="s">
        <v>122</v>
      </c>
      <c r="AN6" s="5"/>
    </row>
    <row r="7" spans="1:40" s="6" customFormat="1" ht="16.5" customHeight="1">
      <c r="A7" s="6">
        <v>1</v>
      </c>
      <c r="B7" s="134" t="s">
        <v>216</v>
      </c>
      <c r="C7" s="134" t="s">
        <v>217</v>
      </c>
      <c r="D7" s="16">
        <v>34271</v>
      </c>
      <c r="E7" s="16"/>
      <c r="F7" s="21"/>
      <c r="G7" s="21"/>
      <c r="H7" s="21"/>
      <c r="I7" s="21"/>
      <c r="J7" s="21"/>
      <c r="K7" s="21"/>
      <c r="L7" s="21"/>
      <c r="M7" s="21"/>
      <c r="N7" s="21"/>
      <c r="O7" s="21"/>
      <c r="P7" s="21"/>
      <c r="Q7" s="21"/>
      <c r="R7" s="21"/>
      <c r="S7" s="21"/>
      <c r="T7" s="21"/>
      <c r="U7" s="21"/>
      <c r="V7" s="21"/>
      <c r="W7" s="21"/>
      <c r="X7" s="21"/>
      <c r="Y7" s="21"/>
      <c r="Z7" s="21"/>
      <c r="AA7" s="21"/>
      <c r="AB7" s="21"/>
      <c r="AC7" s="21"/>
      <c r="AD7" s="21"/>
      <c r="AE7" s="21"/>
      <c r="AF7" s="22"/>
      <c r="AG7" s="20"/>
      <c r="AH7" s="20"/>
      <c r="AI7" s="7">
        <f>COUNTIF(ParticipationSeptembre16212223[[#This Row],[fecha de nacimiento]:[30]],Code1)</f>
        <v>0</v>
      </c>
      <c r="AJ7" s="38">
        <f>COUNTIF(ParticipationSeptembre16212223[[#This Row],[fecha de nacimiento]:[30]],Code2)</f>
        <v>0</v>
      </c>
      <c r="AK7" s="38">
        <f>COUNTIF(ParticipationSeptembre16212223[[#This Row],[fecha de nacimiento]:[30]],Code3)</f>
        <v>0</v>
      </c>
      <c r="AL7" s="38">
        <f>COUNTIF(ParticipationSeptembre16212223[[#This Row],[fecha de nacimiento]:[30]],Code4)</f>
        <v>0</v>
      </c>
      <c r="AM7" s="7">
        <f>SUM(ParticipationSeptembre16212223[[#This Row],[E]:[N1]])</f>
        <v>0</v>
      </c>
      <c r="AN7" s="5"/>
    </row>
    <row r="8" spans="1:40" s="6" customFormat="1" ht="16.5" customHeight="1">
      <c r="A8" s="6">
        <f>1+A7</f>
        <v>2</v>
      </c>
      <c r="B8" s="134" t="s">
        <v>220</v>
      </c>
      <c r="C8" s="134" t="s">
        <v>217</v>
      </c>
      <c r="D8" s="16">
        <v>32645</v>
      </c>
      <c r="E8" s="16"/>
      <c r="F8" s="21"/>
      <c r="G8" s="21"/>
      <c r="H8" s="21"/>
      <c r="I8" s="21"/>
      <c r="J8" s="21"/>
      <c r="K8" s="21"/>
      <c r="L8" s="21"/>
      <c r="M8" s="21"/>
      <c r="N8" s="21"/>
      <c r="O8" s="21"/>
      <c r="P8" s="21"/>
      <c r="Q8" s="21"/>
      <c r="R8" s="21"/>
      <c r="S8" s="21"/>
      <c r="T8" s="21"/>
      <c r="U8" s="21"/>
      <c r="V8" s="21"/>
      <c r="W8" s="21"/>
      <c r="X8" s="21"/>
      <c r="Y8" s="21"/>
      <c r="Z8" s="21"/>
      <c r="AA8" s="21"/>
      <c r="AB8" s="21"/>
      <c r="AC8" s="21"/>
      <c r="AD8" s="21"/>
      <c r="AE8" s="21"/>
      <c r="AF8" s="22"/>
      <c r="AG8" s="20"/>
      <c r="AH8" s="20"/>
      <c r="AI8" s="7">
        <f>COUNTIF(ParticipationSeptembre16212223[[#This Row],[fecha de nacimiento]:[30]],Code1)</f>
        <v>0</v>
      </c>
      <c r="AJ8" s="38">
        <f>COUNTIF(ParticipationSeptembre16212223[[#This Row],[fecha de nacimiento]:[30]],Code2)</f>
        <v>0</v>
      </c>
      <c r="AK8" s="38">
        <f>COUNTIF(ParticipationSeptembre16212223[[#This Row],[fecha de nacimiento]:[30]],Code3)</f>
        <v>0</v>
      </c>
      <c r="AL8" s="38">
        <f>COUNTIF(ParticipationSeptembre16212223[[#This Row],[fecha de nacimiento]:[30]],Code4)</f>
        <v>0</v>
      </c>
      <c r="AM8" s="7">
        <f>SUM(ParticipationSeptembre16212223[[#This Row],[E]:[N1]])</f>
        <v>0</v>
      </c>
      <c r="AN8" s="5"/>
    </row>
    <row r="9" spans="1:40" s="9" customFormat="1" ht="16.5" customHeight="1">
      <c r="A9" s="6">
        <f t="shared" ref="A9:A14" si="0">1+A8</f>
        <v>3</v>
      </c>
      <c r="B9" s="134" t="s">
        <v>228</v>
      </c>
      <c r="C9" s="134" t="s">
        <v>229</v>
      </c>
      <c r="D9" s="16">
        <v>29605</v>
      </c>
      <c r="E9" s="16"/>
      <c r="F9" s="21"/>
      <c r="G9" s="21"/>
      <c r="H9" s="21"/>
      <c r="I9" s="21"/>
      <c r="J9" s="21"/>
      <c r="K9" s="21"/>
      <c r="L9" s="21"/>
      <c r="M9" s="21"/>
      <c r="N9" s="21"/>
      <c r="O9" s="21"/>
      <c r="P9" s="21"/>
      <c r="Q9" s="21"/>
      <c r="R9" s="21"/>
      <c r="S9" s="21"/>
      <c r="T9" s="21"/>
      <c r="U9" s="21"/>
      <c r="V9" s="21"/>
      <c r="W9" s="21"/>
      <c r="X9" s="21"/>
      <c r="Y9" s="21"/>
      <c r="Z9" s="21"/>
      <c r="AA9" s="21"/>
      <c r="AB9" s="21"/>
      <c r="AC9" s="21"/>
      <c r="AD9" s="21"/>
      <c r="AE9" s="21"/>
      <c r="AF9" s="22"/>
      <c r="AG9" s="20"/>
      <c r="AH9" s="20"/>
      <c r="AI9" s="7">
        <f>COUNTIF(ParticipationSeptembre16212223[[#This Row],[fecha de nacimiento]:[30]],Code1)</f>
        <v>0</v>
      </c>
      <c r="AJ9" s="38">
        <f>COUNTIF(ParticipationSeptembre16212223[[#This Row],[fecha de nacimiento]:[30]],Code2)</f>
        <v>0</v>
      </c>
      <c r="AK9" s="38">
        <f>COUNTIF(ParticipationSeptembre16212223[[#This Row],[fecha de nacimiento]:[30]],Code3)</f>
        <v>0</v>
      </c>
      <c r="AL9" s="38">
        <f>COUNTIF(ParticipationSeptembre16212223[[#This Row],[fecha de nacimiento]:[30]],Code4)</f>
        <v>0</v>
      </c>
      <c r="AM9" s="7">
        <f>SUM(ParticipationSeptembre16212223[[#This Row],[E]:[N1]])</f>
        <v>0</v>
      </c>
      <c r="AN9" s="8"/>
    </row>
    <row r="10" spans="1:40" ht="16.5" customHeight="1">
      <c r="A10" s="6">
        <f t="shared" si="0"/>
        <v>4</v>
      </c>
      <c r="B10" s="134" t="s">
        <v>281</v>
      </c>
      <c r="C10" s="134" t="s">
        <v>282</v>
      </c>
      <c r="D10" s="16">
        <v>30853</v>
      </c>
      <c r="E10" s="16"/>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2"/>
      <c r="AG10" s="20"/>
      <c r="AH10" s="20"/>
      <c r="AI10" s="7">
        <f>COUNTIF(ParticipationSeptembre16212223[[#This Row],[fecha de nacimiento]:[30]],Code1)</f>
        <v>0</v>
      </c>
      <c r="AJ10" s="38">
        <f>COUNTIF(ParticipationSeptembre16212223[[#This Row],[fecha de nacimiento]:[30]],Code2)</f>
        <v>0</v>
      </c>
      <c r="AK10" s="38">
        <f>COUNTIF(ParticipationSeptembre16212223[[#This Row],[fecha de nacimiento]:[30]],Code3)</f>
        <v>0</v>
      </c>
      <c r="AL10" s="38">
        <f>COUNTIF(ParticipationSeptembre16212223[[#This Row],[fecha de nacimiento]:[30]],Code4)</f>
        <v>0</v>
      </c>
      <c r="AM10" s="7">
        <f>SUM(ParticipationSeptembre16212223[[#This Row],[E]:[N1]])</f>
        <v>0</v>
      </c>
      <c r="AN10" s="11"/>
    </row>
    <row r="11" spans="1:40" ht="16.5" customHeight="1">
      <c r="A11" s="6">
        <f t="shared" si="0"/>
        <v>5</v>
      </c>
      <c r="B11" s="134" t="s">
        <v>292</v>
      </c>
      <c r="C11" s="134" t="s">
        <v>293</v>
      </c>
      <c r="D11" s="16">
        <v>27614</v>
      </c>
      <c r="E11" s="16"/>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2"/>
      <c r="AG11" s="20"/>
      <c r="AH11" s="20"/>
      <c r="AI11" s="7">
        <f>COUNTIF(ParticipationSeptembre16212223[[#This Row],[fecha de nacimiento]:[30]],Code1)</f>
        <v>0</v>
      </c>
      <c r="AJ11" s="38">
        <f>COUNTIF(ParticipationSeptembre16212223[[#This Row],[fecha de nacimiento]:[30]],Code2)</f>
        <v>0</v>
      </c>
      <c r="AK11" s="38">
        <f>COUNTIF(ParticipationSeptembre16212223[[#This Row],[fecha de nacimiento]:[30]],Code3)</f>
        <v>0</v>
      </c>
      <c r="AL11" s="38">
        <f>COUNTIF(ParticipationSeptembre16212223[[#This Row],[fecha de nacimiento]:[30]],Code4)</f>
        <v>0</v>
      </c>
      <c r="AM11" s="7">
        <f>SUM(ParticipationSeptembre16212223[[#This Row],[E]:[N1]])</f>
        <v>0</v>
      </c>
      <c r="AN11" s="11"/>
    </row>
    <row r="12" spans="1:40" ht="16.5" customHeight="1">
      <c r="A12" s="6">
        <f t="shared" si="0"/>
        <v>6</v>
      </c>
      <c r="B12" s="134" t="s">
        <v>327</v>
      </c>
      <c r="C12" s="134" t="s">
        <v>325</v>
      </c>
      <c r="D12" s="16">
        <v>32287</v>
      </c>
      <c r="E12" s="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8"/>
      <c r="AI12" s="11">
        <f>COUNTIF(ParticipationSeptembre16212223[[#This Row],[fecha de nacimiento]:[30]],Code1)</f>
        <v>0</v>
      </c>
      <c r="AJ12" s="120">
        <f>COUNTIF(ParticipationSeptembre16212223[[#This Row],[fecha de nacimiento]:[30]],Code2)</f>
        <v>0</v>
      </c>
      <c r="AK12" s="120">
        <f>COUNTIF(ParticipationSeptembre16212223[[#This Row],[fecha de nacimiento]:[30]],Code3)</f>
        <v>0</v>
      </c>
      <c r="AL12" s="120">
        <f>COUNTIF(ParticipationSeptembre16212223[[#This Row],[fecha de nacimiento]:[30]],Code4)</f>
        <v>0</v>
      </c>
      <c r="AM12" s="12">
        <f>SUM(ParticipationSeptembre16212223[[#This Row],[E]:[N1]])</f>
        <v>0</v>
      </c>
    </row>
    <row r="13" spans="1:40" ht="16.5" customHeight="1">
      <c r="A13" s="6">
        <f t="shared" si="0"/>
        <v>7</v>
      </c>
      <c r="B13" s="160" t="s">
        <v>555</v>
      </c>
      <c r="C13" s="153" t="s">
        <v>560</v>
      </c>
      <c r="D13" s="16">
        <v>30991</v>
      </c>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9"/>
      <c r="AG13" s="7"/>
      <c r="AH13" s="7"/>
      <c r="AI13" s="7">
        <f>COUNTIF(ParticipationSeptembre16212223[[#This Row],[fecha de nacimiento]:[30]],Code1)</f>
        <v>0</v>
      </c>
      <c r="AJ13" s="7">
        <f>COUNTIF(ParticipationSeptembre16212223[[#This Row],[fecha de nacimiento]:[30]],Code2)</f>
        <v>0</v>
      </c>
      <c r="AK13" s="7">
        <f>COUNTIF(ParticipationSeptembre16212223[[#This Row],[fecha de nacimiento]:[30]],Code3)</f>
        <v>0</v>
      </c>
      <c r="AL13" s="7">
        <f>COUNTIF(ParticipationSeptembre16212223[[#This Row],[fecha de nacimiento]:[30]],Code4)</f>
        <v>0</v>
      </c>
      <c r="AM13" s="7">
        <f>SUM(ParticipationSeptembre16212223[[#This Row],[E]:[N1]])</f>
        <v>0</v>
      </c>
    </row>
    <row r="14" spans="1:40" ht="16.5" customHeight="1">
      <c r="A14" s="6">
        <f t="shared" si="0"/>
        <v>8</v>
      </c>
      <c r="B14" s="143" t="s">
        <v>561</v>
      </c>
      <c r="C14" s="137" t="s">
        <v>564</v>
      </c>
      <c r="D14" s="16">
        <v>25327</v>
      </c>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8"/>
      <c r="AI14" s="11">
        <f>COUNTIF(ParticipationSeptembre16212223[[#This Row],[fecha de nacimiento]:[30]],Code1)</f>
        <v>0</v>
      </c>
      <c r="AJ14" s="120">
        <f>COUNTIF(ParticipationSeptembre16212223[[#This Row],[fecha de nacimiento]:[30]],Code2)</f>
        <v>0</v>
      </c>
      <c r="AK14" s="120">
        <f>COUNTIF(ParticipationSeptembre16212223[[#This Row],[fecha de nacimiento]:[30]],Code3)</f>
        <v>0</v>
      </c>
      <c r="AL14" s="120">
        <f>COUNTIF(ParticipationSeptembre16212223[[#This Row],[fecha de nacimiento]:[30]],Code4)</f>
        <v>0</v>
      </c>
      <c r="AM14" s="12">
        <f>SUM(ParticipationSeptembre16212223[[#This Row],[E]:[N1]])</f>
        <v>0</v>
      </c>
    </row>
    <row r="15" spans="1:40" ht="16.5" customHeight="1">
      <c r="B15" s="124"/>
      <c r="C15" s="125"/>
      <c r="D15" s="165"/>
      <c r="E15" s="166"/>
      <c r="F15" s="166"/>
      <c r="G15" s="166"/>
      <c r="H15" s="166"/>
      <c r="I15" s="166"/>
      <c r="J15" s="166"/>
      <c r="K15" s="166"/>
      <c r="L15" s="166"/>
      <c r="M15" s="166"/>
      <c r="N15" s="166"/>
      <c r="O15" s="166"/>
      <c r="P15" s="166"/>
      <c r="Q15" s="166"/>
      <c r="R15" s="166"/>
      <c r="S15" s="166"/>
      <c r="T15" s="166"/>
      <c r="U15" s="166"/>
      <c r="V15" s="166"/>
      <c r="W15" s="166"/>
      <c r="X15" s="166"/>
      <c r="Y15" s="166"/>
      <c r="Z15" s="166"/>
      <c r="AA15" s="166"/>
      <c r="AB15" s="166"/>
      <c r="AC15" s="166"/>
      <c r="AD15" s="166"/>
      <c r="AE15" s="166"/>
      <c r="AF15" s="167"/>
      <c r="AI15" s="11">
        <f>COUNTIF(ParticipationSeptembre16212223[[#This Row],[fecha de nacimiento]:[30]],Code1)</f>
        <v>0</v>
      </c>
      <c r="AJ15" s="120">
        <f>COUNTIF(ParticipationSeptembre16212223[[#This Row],[fecha de nacimiento]:[30]],Code2)</f>
        <v>0</v>
      </c>
      <c r="AK15" s="120">
        <f>COUNTIF(ParticipationSeptembre16212223[[#This Row],[fecha de nacimiento]:[30]],Code3)</f>
        <v>0</v>
      </c>
      <c r="AL15" s="120">
        <f>COUNTIF(ParticipationSeptembre16212223[[#This Row],[fecha de nacimiento]:[30]],Code4)</f>
        <v>0</v>
      </c>
      <c r="AM15" s="12">
        <f>SUM(ParticipationSeptembre16212223[[#This Row],[E]:[N1]])</f>
        <v>0</v>
      </c>
    </row>
    <row r="16" spans="1:40" ht="16.5" customHeight="1">
      <c r="B16" s="124"/>
      <c r="C16" s="125"/>
      <c r="D16" s="165"/>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7"/>
      <c r="AI16" s="11">
        <f>COUNTIF(ParticipationSeptembre16212223[[#This Row],[fecha de nacimiento]:[30]],Code1)</f>
        <v>0</v>
      </c>
      <c r="AJ16" s="120">
        <f>COUNTIF(ParticipationSeptembre16212223[[#This Row],[fecha de nacimiento]:[30]],Code2)</f>
        <v>0</v>
      </c>
      <c r="AK16" s="120">
        <f>COUNTIF(ParticipationSeptembre16212223[[#This Row],[fecha de nacimiento]:[30]],Code3)</f>
        <v>0</v>
      </c>
      <c r="AL16" s="120">
        <f>COUNTIF(ParticipationSeptembre16212223[[#This Row],[fecha de nacimiento]:[30]],Code4)</f>
        <v>0</v>
      </c>
      <c r="AM16" s="12">
        <f>SUM(ParticipationSeptembre16212223[[#This Row],[E]:[N1]])</f>
        <v>0</v>
      </c>
    </row>
    <row r="17" spans="2:39" ht="16.5" customHeight="1">
      <c r="B17" s="124"/>
      <c r="C17" s="125"/>
      <c r="D17" s="165"/>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7"/>
      <c r="AI17" s="11">
        <f>COUNTIF(ParticipationSeptembre16212223[[#This Row],[fecha de nacimiento]:[30]],Code1)</f>
        <v>0</v>
      </c>
      <c r="AJ17" s="120">
        <f>COUNTIF(ParticipationSeptembre16212223[[#This Row],[fecha de nacimiento]:[30]],Code2)</f>
        <v>0</v>
      </c>
      <c r="AK17" s="120">
        <f>COUNTIF(ParticipationSeptembre16212223[[#This Row],[fecha de nacimiento]:[30]],Code3)</f>
        <v>0</v>
      </c>
      <c r="AL17" s="120">
        <f>COUNTIF(ParticipationSeptembre16212223[[#This Row],[fecha de nacimiento]:[30]],Code4)</f>
        <v>0</v>
      </c>
      <c r="AM17" s="12">
        <f>SUM(ParticipationSeptembre16212223[[#This Row],[E]:[N1]])</f>
        <v>0</v>
      </c>
    </row>
    <row r="18" spans="2:39" ht="16.5" customHeight="1">
      <c r="B18" s="161"/>
      <c r="C18" s="162" t="s">
        <v>78</v>
      </c>
      <c r="D18" s="163">
        <f>COUNTIF(ParticipationSeptembre16212223[fecha de nacimiento],"N1")+COUNTIF(ParticipationSeptembre16212223[fecha de nacimiento],"E")</f>
        <v>0</v>
      </c>
      <c r="E18" s="163">
        <f>COUNTIF(ParticipationSeptembre16212223[29],"N1")+COUNTIF(ParticipationSeptembre16212223[29],"E")</f>
        <v>0</v>
      </c>
      <c r="F18" s="163">
        <f>COUNTIF(ParticipationSeptembre16212223[6],"N1")+COUNTIF(ParticipationSeptembre16212223[6],"E")</f>
        <v>0</v>
      </c>
      <c r="G18" s="163">
        <f>COUNTIF(ParticipationSeptembre16212223[13],"N1")+COUNTIF(ParticipationSeptembre16212223[13],"E")</f>
        <v>0</v>
      </c>
      <c r="H18" s="163">
        <f>COUNTIF(ParticipationSeptembre16212223[20],"N1")+COUNTIF(ParticipationSeptembre16212223[20],"E")</f>
        <v>0</v>
      </c>
      <c r="I18" s="163">
        <f>COUNTIF(ParticipationSeptembre16212223[27],"N1")+COUNTIF(ParticipationSeptembre16212223[27],"E")</f>
        <v>0</v>
      </c>
      <c r="J18" s="163">
        <f>COUNTIF(ParticipationSeptembre16212223[3],"N1")+COUNTIF(ParticipationSeptembre16212223[3],"E")</f>
        <v>0</v>
      </c>
      <c r="K18" s="163">
        <f>COUNTIF(ParticipationSeptembre16212223[10],"N1")+COUNTIF(ParticipationSeptembre16212223[10],"E")</f>
        <v>0</v>
      </c>
      <c r="L18" s="163">
        <f>COUNTIF(ParticipationSeptembre16212223[17],"N1")+COUNTIF(ParticipationSeptembre16212223[17],"E")</f>
        <v>0</v>
      </c>
      <c r="M18" s="163">
        <f>COUNTIF(ParticipationSeptembre16212223[24],"N1")+COUNTIF(ParticipationSeptembre16212223[24],"E")</f>
        <v>0</v>
      </c>
      <c r="N18" s="163">
        <f>COUNTIF(ParticipationSeptembre16212223[14],"N1")+COUNTIF(ParticipationSeptembre16212223[14],"E")</f>
        <v>0</v>
      </c>
      <c r="O18" s="163">
        <f>COUNTIF(ParticipationSeptembre16212223[8],"N1")+COUNTIF(ParticipationSeptembre16212223[8],"E")</f>
        <v>0</v>
      </c>
      <c r="P18" s="163">
        <f>COUNTIF(ParticipationSeptembre16212223[15],"N1")+COUNTIF(ParticipationSeptembre16212223[15],"E")</f>
        <v>0</v>
      </c>
      <c r="Q18" s="163">
        <f>COUNTIF(ParticipationSeptembre16212223[12],"N1")+COUNTIF(ParticipationSeptembre16212223[12],"E")</f>
        <v>0</v>
      </c>
      <c r="R18" s="163">
        <f>COUNTIF(ParticipationSeptembre16212223[19],"N1")+COUNTIF(ParticipationSeptembre16212223[19],"E")</f>
        <v>0</v>
      </c>
      <c r="S18" s="163">
        <f>COUNTIF(ParticipationSeptembre16212223[26],"N1")+COUNTIF(ParticipationSeptembre16212223[26],"E")</f>
        <v>0</v>
      </c>
      <c r="T18" s="163">
        <f>COUNTIF(ParticipationSeptembre16212223[2],"N1")+COUNTIF(ParticipationSeptembre16212223[2],"E")</f>
        <v>0</v>
      </c>
      <c r="U18" s="163">
        <f>COUNTIF(ParticipationSeptembre16212223[9],"N1")+COUNTIF(ParticipationSeptembre16212223[9],"E")</f>
        <v>0</v>
      </c>
      <c r="V18" s="163">
        <f>COUNTIF(ParticipationSeptembre16212223[16],"N1")+COUNTIF(ParticipationSeptembre16212223[16],"E")</f>
        <v>0</v>
      </c>
      <c r="W18" s="163">
        <f>COUNTIF(ParticipationSeptembre16212223[23],"N1")+COUNTIF(ParticipationSeptembre16212223[23],"E")</f>
        <v>0</v>
      </c>
      <c r="X18" s="163">
        <f>COUNTIF(ParticipationSeptembre16212223[*8],"N1")+COUNTIF(ParticipationSeptembre16212223[*8],"E")</f>
        <v>0</v>
      </c>
      <c r="Y18" s="163">
        <f>COUNTIF(ParticipationSeptembre16212223[*15],"N1")+COUNTIF(ParticipationSeptembre16212223[*15],"E")</f>
        <v>0</v>
      </c>
      <c r="Z18" s="163">
        <f>COUNTIF(ParticipationSeptembre16212223[22],"N1")+COUNTIF(ParticipationSeptembre16212223[22],"E")</f>
        <v>0</v>
      </c>
      <c r="AA18" s="163">
        <f>COUNTIF(ParticipationSeptembre16212223[*29],"N1")+COUNTIF(ParticipationSeptembre16212223[*29],"E")</f>
        <v>0</v>
      </c>
      <c r="AB18" s="163">
        <f>COUNTIF(ParticipationSeptembre16212223[*19],"N1")+COUNTIF(ParticipationSeptembre16212223[*19],"E")</f>
        <v>0</v>
      </c>
      <c r="AC18" s="163">
        <f>COUNTIF(ParticipationSeptembre16212223[*26],"N1")+COUNTIF(ParticipationSeptembre16212223[*26],"E")</f>
        <v>0</v>
      </c>
      <c r="AD18" s="163">
        <f>COUNTIF(ParticipationSeptembre16212223[*3],"N1")+COUNTIF(ParticipationSeptembre16212223[*3],"E")</f>
        <v>0</v>
      </c>
      <c r="AE18" s="163">
        <f>COUNTIF(ParticipationSeptembre16212223[*10],"N1")+COUNTIF(ParticipationSeptembre16212223[*10],"E")</f>
        <v>0</v>
      </c>
      <c r="AF18" s="163">
        <f>COUNTIF(ParticipationSeptembre16212223[*17],"N1")+COUNTIF(ParticipationSeptembre16212223[*17],"E")</f>
        <v>0</v>
      </c>
      <c r="AG18" s="163">
        <f>COUNTIF(ParticipationSeptembre16212223[*24],"N1")+COUNTIF(ParticipationSeptembre16212223[*24],"E")</f>
        <v>0</v>
      </c>
      <c r="AH18" s="163">
        <f>COUNTIF(ParticipationSeptembre16212223[30],"N1")+COUNTIF(ParticipationSeptembre16212223[30],"E")</f>
        <v>0</v>
      </c>
      <c r="AI18" s="163">
        <f>SUBTOTAL(109,ParticipationSeptembre16212223[R])</f>
        <v>0</v>
      </c>
      <c r="AJ18" s="163">
        <f>SUBTOTAL(109,ParticipationSeptembre16212223[E])</f>
        <v>0</v>
      </c>
      <c r="AK18" s="163">
        <f>SUBTOTAL(109,ParticipationSeptembre16212223[N1])</f>
        <v>0</v>
      </c>
      <c r="AL18" s="163">
        <f>SUBTOTAL(109,ParticipationSeptembre16212223[P])</f>
        <v>0</v>
      </c>
      <c r="AM18" s="164"/>
    </row>
    <row r="19" spans="2:39" ht="16.5" customHeight="1"/>
    <row r="20" spans="2:39" ht="16.5" customHeight="1"/>
    <row r="21" spans="2:39" ht="16.5" customHeight="1"/>
    <row r="22" spans="2:39" ht="16.5" customHeight="1"/>
    <row r="23" spans="2:39" ht="16.5" customHeight="1"/>
    <row r="24" spans="2:39" ht="16.5" customHeight="1"/>
    <row r="25" spans="2:39" ht="16.5" customHeight="1"/>
    <row r="26" spans="2:39" ht="16.5" customHeight="1"/>
    <row r="27" spans="2:39" ht="16.5" customHeight="1"/>
    <row r="28" spans="2:39" ht="16.5" customHeight="1"/>
    <row r="29" spans="2:39" ht="16.5" customHeight="1"/>
    <row r="30" spans="2:39" ht="16.5" customHeight="1"/>
    <row r="31" spans="2:39" ht="16.5" customHeight="1"/>
    <row r="32" spans="2:39"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sheetData>
  <sheetProtection formatCells="0" formatColumns="0" formatRows="0" insertColumns="0" insertRows="0" insertHyperlinks="0" deleteColumns="0" deleteRows="0" sort="0" autoFilter="0" pivotTables="0"/>
  <mergeCells count="1">
    <mergeCell ref="AI5:AM5"/>
  </mergeCells>
  <conditionalFormatting sqref="AM7:AM17">
    <cfRule type="dataBar" priority="6">
      <dataBar>
        <cfvo type="min"/>
        <cfvo type="num" val="31"/>
        <color theme="4"/>
      </dataBar>
      <extLst>
        <ext xmlns:x14="http://schemas.microsoft.com/office/spreadsheetml/2009/9/main" uri="{B025F937-C7B1-47D3-B67F-A62EFF666E3E}">
          <x14:id>{D8785F29-7C47-4D41-833E-8B9D4C6E6FF9}</x14:id>
        </ext>
      </extLst>
    </cfRule>
  </conditionalFormatting>
  <conditionalFormatting sqref="AG7:AI17">
    <cfRule type="expression" dxfId="83" priority="7" stopIfTrue="1">
      <formula>AG7=Code2</formula>
    </cfRule>
  </conditionalFormatting>
  <conditionalFormatting sqref="AG7:AH17">
    <cfRule type="expression" dxfId="82" priority="8" stopIfTrue="1">
      <formula>AG7=Code5</formula>
    </cfRule>
    <cfRule type="expression" dxfId="81" priority="9" stopIfTrue="1">
      <formula>AG7=Code4</formula>
    </cfRule>
    <cfRule type="expression" dxfId="80" priority="10" stopIfTrue="1">
      <formula>AG7=Code3</formula>
    </cfRule>
    <cfRule type="expression" dxfId="79" priority="11" stopIfTrue="1">
      <formula>AG7=Code1</formula>
    </cfRule>
  </conditionalFormatting>
  <conditionalFormatting sqref="D7:AF17">
    <cfRule type="expression" dxfId="78" priority="1" stopIfTrue="1">
      <formula>D7=Code2</formula>
    </cfRule>
  </conditionalFormatting>
  <conditionalFormatting sqref="D7:AF17">
    <cfRule type="expression" dxfId="77" priority="2" stopIfTrue="1">
      <formula>D7=Code5</formula>
    </cfRule>
    <cfRule type="expression" dxfId="76" priority="3" stopIfTrue="1">
      <formula>D7=Code4</formula>
    </cfRule>
    <cfRule type="expression" dxfId="75" priority="4" stopIfTrue="1">
      <formula>D7=Code3</formula>
    </cfRule>
    <cfRule type="expression" dxfId="74" priority="5" stopIfTrue="1">
      <formula>D7=Code1</formula>
    </cfRule>
  </conditionalFormatting>
  <dataValidations count="1">
    <dataValidation type="list" errorStyle="warning" allowBlank="1" showInputMessage="1" showErrorMessage="1" errorTitle="Whoops!" error="The Student ID you entered isn't on the Student List sheet. You can click Yes to use what you entered but that Student ID won't be available on the Student Attendance Report sheet." sqref="B7:B17">
      <formula1>IDÉtudiant</formula1>
    </dataValidation>
  </dataValidations>
  <printOptions horizontalCentered="1"/>
  <pageMargins left="0.51181102362204722" right="0.51181102362204722" top="0.74803149606299213" bottom="0.74803149606299213" header="0.31496062992125984" footer="0.31496062992125984"/>
  <pageSetup scale="54" fitToHeight="0" orientation="landscape" r:id="rId1"/>
  <headerFooter>
    <oddHeader>&amp;CMisión Santa Teresa de Avila
Lista de presencia de los grupos de catequesis
2019-2020</oddHeader>
  </headerFooter>
  <ignoredErrors>
    <ignoredError sqref="B7:C12" listDataValidation="1"/>
  </ignoredError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D8785F29-7C47-4D41-833E-8B9D4C6E6FF9}">
            <x14:dataBar minLength="0" maxLength="100" border="1" negativeBarBorderColorSameAsPositive="0">
              <x14:cfvo type="autoMin"/>
              <x14:cfvo type="num">
                <xm:f>31</xm:f>
              </x14:cfvo>
              <x14:borderColor theme="4"/>
              <x14:negativeFillColor rgb="FFFF0000"/>
              <x14:negativeBorderColor rgb="FFFF0000"/>
              <x14:axisColor rgb="FF000000"/>
            </x14:dataBar>
          </x14:cfRule>
          <xm:sqref>AM7:AM17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P307"/>
  <sheetViews>
    <sheetView showGridLines="0" tabSelected="1" zoomScaleNormal="100" workbookViewId="0">
      <pane xSplit="3" ySplit="6" topLeftCell="D7" activePane="bottomRight" state="frozen"/>
      <selection pane="topRight"/>
      <selection pane="bottomLeft"/>
      <selection pane="bottomRight" activeCell="D122" sqref="D122"/>
    </sheetView>
  </sheetViews>
  <sheetFormatPr baseColWidth="10" defaultColWidth="9.140625" defaultRowHeight="15" customHeight="1"/>
  <cols>
    <col min="1" max="1" width="2.7109375" style="12" customWidth="1"/>
    <col min="2" max="2" width="19.5703125" style="12" customWidth="1"/>
    <col min="3" max="4" width="33" style="13" customWidth="1"/>
    <col min="5" max="5" width="35.7109375" style="155" customWidth="1"/>
    <col min="6" max="6" width="12.7109375" style="11" customWidth="1"/>
    <col min="7" max="36" width="5" style="11" customWidth="1"/>
    <col min="37" max="37" width="4.7109375" style="10" customWidth="1"/>
    <col min="38" max="38" width="4.7109375" style="11" customWidth="1"/>
    <col min="39" max="40" width="4.7109375" style="12" customWidth="1"/>
    <col min="41" max="41" width="17" style="12" customWidth="1"/>
    <col min="42" max="16384" width="9.140625" style="12"/>
  </cols>
  <sheetData>
    <row r="1" spans="1:42" s="1" customFormat="1" ht="42" customHeight="1">
      <c r="A1" s="102" t="s">
        <v>551</v>
      </c>
      <c r="B1" s="28"/>
      <c r="C1" s="28"/>
      <c r="D1" s="28"/>
      <c r="E1" s="150"/>
      <c r="F1" s="28" t="s">
        <v>116</v>
      </c>
      <c r="G1" s="29"/>
      <c r="H1" s="29"/>
      <c r="I1" s="29"/>
      <c r="J1" s="29"/>
      <c r="K1" s="29" t="s">
        <v>481</v>
      </c>
      <c r="L1" s="29"/>
      <c r="M1" s="29"/>
      <c r="N1" s="29"/>
      <c r="O1" s="29"/>
      <c r="P1" s="29"/>
      <c r="Q1" s="29"/>
      <c r="R1" s="29"/>
      <c r="S1" s="29"/>
      <c r="T1" s="29"/>
      <c r="U1" s="29"/>
      <c r="V1" s="29"/>
      <c r="W1" s="29"/>
      <c r="X1" s="29"/>
      <c r="Y1" s="29"/>
      <c r="Z1" s="29"/>
      <c r="AA1" s="29"/>
      <c r="AB1" s="29"/>
      <c r="AC1" s="29"/>
      <c r="AD1" s="29"/>
      <c r="AE1" s="28"/>
      <c r="AF1" s="28"/>
      <c r="AG1" s="28"/>
      <c r="AH1" s="28"/>
      <c r="AI1" s="30"/>
      <c r="AJ1" s="28"/>
      <c r="AK1" s="28"/>
      <c r="AL1" s="31"/>
      <c r="AM1" s="28"/>
      <c r="AN1" s="46" t="s">
        <v>117</v>
      </c>
      <c r="AO1" s="47">
        <v>2019</v>
      </c>
    </row>
    <row r="2" spans="1:42" customFormat="1" ht="13.5">
      <c r="E2" s="14"/>
    </row>
    <row r="3" spans="1:42" s="24" customFormat="1" ht="12.75" customHeight="1">
      <c r="C3" s="34"/>
      <c r="D3" s="34"/>
      <c r="E3" s="151"/>
      <c r="F3" s="40" t="str">
        <f>Code1</f>
        <v>R</v>
      </c>
      <c r="G3" s="56" t="s">
        <v>118</v>
      </c>
      <c r="H3" s="48"/>
      <c r="J3" s="41" t="str">
        <f>Code2</f>
        <v>E</v>
      </c>
      <c r="K3" s="45" t="s">
        <v>119</v>
      </c>
      <c r="N3" s="42" t="str">
        <f>Code3</f>
        <v>N1</v>
      </c>
      <c r="O3" s="45" t="s">
        <v>123</v>
      </c>
      <c r="R3" s="43" t="str">
        <f>Code4</f>
        <v>P</v>
      </c>
      <c r="S3" s="45" t="s">
        <v>121</v>
      </c>
      <c r="V3" s="44" t="str">
        <f>Code5</f>
        <v>N</v>
      </c>
      <c r="W3" s="45"/>
      <c r="Y3"/>
      <c r="Z3"/>
      <c r="AA3"/>
      <c r="AF3" s="23"/>
      <c r="AG3" s="23"/>
      <c r="AJ3" s="25"/>
      <c r="AK3" s="26"/>
      <c r="AM3" s="27"/>
    </row>
    <row r="4" spans="1:42" customFormat="1" ht="16.5" customHeight="1">
      <c r="E4" s="14"/>
    </row>
    <row r="5" spans="1:42" s="2" customFormat="1" ht="18" customHeight="1">
      <c r="B5" s="103">
        <v>43737</v>
      </c>
      <c r="C5" s="49"/>
      <c r="D5" s="49"/>
      <c r="E5" s="152"/>
      <c r="F5" s="32"/>
      <c r="G5" s="110" t="s">
        <v>95</v>
      </c>
      <c r="H5" s="111" t="s">
        <v>96</v>
      </c>
      <c r="I5" s="112" t="s">
        <v>96</v>
      </c>
      <c r="J5" s="112" t="s">
        <v>96</v>
      </c>
      <c r="K5" s="112" t="s">
        <v>96</v>
      </c>
      <c r="L5" s="112" t="s">
        <v>97</v>
      </c>
      <c r="M5" s="112" t="s">
        <v>97</v>
      </c>
      <c r="N5" s="112" t="s">
        <v>97</v>
      </c>
      <c r="O5" s="112" t="s">
        <v>97</v>
      </c>
      <c r="P5" s="112" t="s">
        <v>98</v>
      </c>
      <c r="Q5" s="112" t="s">
        <v>98</v>
      </c>
      <c r="R5" s="112" t="s">
        <v>98</v>
      </c>
      <c r="S5" s="112" t="s">
        <v>99</v>
      </c>
      <c r="T5" s="112" t="s">
        <v>99</v>
      </c>
      <c r="U5" s="112" t="s">
        <v>99</v>
      </c>
      <c r="V5" s="112" t="s">
        <v>100</v>
      </c>
      <c r="W5" s="112" t="s">
        <v>100</v>
      </c>
      <c r="X5" s="112" t="s">
        <v>100</v>
      </c>
      <c r="Y5" s="112" t="s">
        <v>100</v>
      </c>
      <c r="Z5" s="112" t="s">
        <v>101</v>
      </c>
      <c r="AA5" s="112" t="s">
        <v>101</v>
      </c>
      <c r="AB5" s="112" t="s">
        <v>101</v>
      </c>
      <c r="AC5" s="112" t="s">
        <v>101</v>
      </c>
      <c r="AD5" s="112" t="s">
        <v>102</v>
      </c>
      <c r="AE5" s="112" t="s">
        <v>103</v>
      </c>
      <c r="AF5" s="112" t="s">
        <v>104</v>
      </c>
      <c r="AG5" s="112" t="s">
        <v>104</v>
      </c>
      <c r="AH5" s="112" t="s">
        <v>104</v>
      </c>
      <c r="AI5" s="112" t="s">
        <v>104</v>
      </c>
      <c r="AJ5" s="112" t="s">
        <v>104</v>
      </c>
      <c r="AK5" s="190" t="s">
        <v>28</v>
      </c>
      <c r="AL5" s="191"/>
      <c r="AM5" s="191"/>
      <c r="AN5" s="191"/>
      <c r="AO5" s="192"/>
    </row>
    <row r="6" spans="1:42" s="6" customFormat="1" ht="14.25" customHeight="1">
      <c r="B6" t="s">
        <v>451</v>
      </c>
      <c r="C6" t="s">
        <v>452</v>
      </c>
      <c r="D6" t="s">
        <v>466</v>
      </c>
      <c r="E6" s="14" t="s">
        <v>467</v>
      </c>
      <c r="F6" s="113" t="s">
        <v>462</v>
      </c>
      <c r="G6" s="3" t="s">
        <v>19</v>
      </c>
      <c r="H6" s="3" t="s">
        <v>2</v>
      </c>
      <c r="I6" s="3" t="s">
        <v>7</v>
      </c>
      <c r="J6" s="3" t="s">
        <v>13</v>
      </c>
      <c r="K6" s="3" t="s">
        <v>18</v>
      </c>
      <c r="L6" s="3" t="s">
        <v>1</v>
      </c>
      <c r="M6" s="3" t="s">
        <v>5</v>
      </c>
      <c r="N6" s="3" t="s">
        <v>11</v>
      </c>
      <c r="O6" s="3" t="s">
        <v>16</v>
      </c>
      <c r="P6" s="3" t="s">
        <v>8</v>
      </c>
      <c r="Q6" s="3" t="s">
        <v>3</v>
      </c>
      <c r="R6" s="3" t="s">
        <v>9</v>
      </c>
      <c r="S6" s="3" t="s">
        <v>6</v>
      </c>
      <c r="T6" s="3" t="s">
        <v>12</v>
      </c>
      <c r="U6" s="3" t="s">
        <v>17</v>
      </c>
      <c r="V6" s="3" t="s">
        <v>0</v>
      </c>
      <c r="W6" s="3" t="s">
        <v>4</v>
      </c>
      <c r="X6" s="3" t="s">
        <v>10</v>
      </c>
      <c r="Y6" s="3" t="s">
        <v>15</v>
      </c>
      <c r="Z6" s="3" t="s">
        <v>105</v>
      </c>
      <c r="AA6" s="3" t="s">
        <v>106</v>
      </c>
      <c r="AB6" s="3" t="s">
        <v>14</v>
      </c>
      <c r="AC6" s="3" t="s">
        <v>107</v>
      </c>
      <c r="AD6" s="3" t="s">
        <v>108</v>
      </c>
      <c r="AE6" s="3" t="s">
        <v>109</v>
      </c>
      <c r="AF6" s="3" t="s">
        <v>110</v>
      </c>
      <c r="AG6" s="3" t="s">
        <v>111</v>
      </c>
      <c r="AH6" s="3" t="s">
        <v>112</v>
      </c>
      <c r="AI6" s="3" t="s">
        <v>113</v>
      </c>
      <c r="AJ6" s="3" t="s">
        <v>20</v>
      </c>
      <c r="AK6" s="81" t="s">
        <v>25</v>
      </c>
      <c r="AL6" s="57" t="s">
        <v>26</v>
      </c>
      <c r="AM6" s="58" t="s">
        <v>81</v>
      </c>
      <c r="AN6" s="59" t="s">
        <v>21</v>
      </c>
      <c r="AO6" s="39" t="s">
        <v>122</v>
      </c>
      <c r="AP6" s="5"/>
    </row>
    <row r="7" spans="1:42" s="6" customFormat="1" ht="16.5" customHeight="1">
      <c r="A7" s="6">
        <v>1</v>
      </c>
      <c r="B7" t="s">
        <v>464</v>
      </c>
      <c r="C7" s="134" t="s">
        <v>483</v>
      </c>
      <c r="D7" s="135" t="s">
        <v>323</v>
      </c>
      <c r="E7" s="153"/>
      <c r="F7" s="16"/>
      <c r="G7" s="14"/>
      <c r="H7" s="14"/>
      <c r="I7" s="19"/>
      <c r="J7" s="21"/>
      <c r="K7" s="21"/>
      <c r="L7" s="21"/>
      <c r="M7" s="21"/>
      <c r="N7" s="21"/>
      <c r="O7" s="21"/>
      <c r="P7" s="21"/>
      <c r="Q7" s="21"/>
      <c r="R7" s="21"/>
      <c r="S7" s="21"/>
      <c r="T7" s="21"/>
      <c r="U7" s="21"/>
      <c r="V7" s="21"/>
      <c r="W7" s="21"/>
      <c r="X7" s="21"/>
      <c r="Y7" s="21"/>
      <c r="Z7" s="21"/>
      <c r="AA7" s="21"/>
      <c r="AB7" s="21"/>
      <c r="AC7" s="21"/>
      <c r="AD7" s="21"/>
      <c r="AE7" s="21"/>
      <c r="AF7" s="21"/>
      <c r="AG7" s="21"/>
      <c r="AH7" s="22"/>
      <c r="AI7" s="20"/>
      <c r="AJ7" s="20"/>
      <c r="AK7" s="7"/>
      <c r="AL7" s="38"/>
      <c r="AM7" s="38"/>
      <c r="AN7" s="38"/>
      <c r="AO7" s="7"/>
      <c r="AP7" s="5"/>
    </row>
    <row r="8" spans="1:42" s="6" customFormat="1" ht="16.5" customHeight="1">
      <c r="A8" s="6">
        <f>1+A7</f>
        <v>2</v>
      </c>
      <c r="B8" t="s">
        <v>464</v>
      </c>
      <c r="C8" s="134" t="s">
        <v>484</v>
      </c>
      <c r="D8" s="135" t="s">
        <v>271</v>
      </c>
      <c r="E8" s="153" t="s">
        <v>272</v>
      </c>
      <c r="F8" s="16"/>
      <c r="G8" s="14"/>
      <c r="H8" s="14"/>
      <c r="I8" s="19"/>
      <c r="J8" s="21"/>
      <c r="K8" s="21"/>
      <c r="L8" s="21"/>
      <c r="M8" s="21"/>
      <c r="N8" s="21"/>
      <c r="O8" s="21"/>
      <c r="P8" s="21"/>
      <c r="Q8" s="21"/>
      <c r="R8" s="21"/>
      <c r="S8" s="21"/>
      <c r="T8" s="21"/>
      <c r="U8" s="21"/>
      <c r="V8" s="21"/>
      <c r="W8" s="21"/>
      <c r="X8" s="21"/>
      <c r="Y8" s="21"/>
      <c r="Z8" s="21"/>
      <c r="AA8" s="21"/>
      <c r="AB8" s="21"/>
      <c r="AC8" s="21"/>
      <c r="AD8" s="21"/>
      <c r="AE8" s="21"/>
      <c r="AF8" s="21"/>
      <c r="AG8" s="21"/>
      <c r="AH8" s="22"/>
      <c r="AI8" s="20"/>
      <c r="AJ8" s="20"/>
      <c r="AK8" s="7"/>
      <c r="AL8" s="38"/>
      <c r="AM8" s="38"/>
      <c r="AN8" s="38"/>
      <c r="AO8" s="7"/>
      <c r="AP8" s="5"/>
    </row>
    <row r="9" spans="1:42" s="9" customFormat="1" ht="16.5" customHeight="1">
      <c r="A9" s="6">
        <f t="shared" ref="A9:A14" si="0">1+A8</f>
        <v>3</v>
      </c>
      <c r="B9" t="s">
        <v>464</v>
      </c>
      <c r="C9" s="134" t="s">
        <v>485</v>
      </c>
      <c r="D9" s="135" t="s">
        <v>130</v>
      </c>
      <c r="E9" s="153"/>
      <c r="F9" s="16"/>
      <c r="G9" s="14"/>
      <c r="H9" s="14"/>
      <c r="I9" s="19"/>
      <c r="J9" s="21"/>
      <c r="K9" s="21"/>
      <c r="L9" s="21"/>
      <c r="M9" s="21"/>
      <c r="N9" s="21"/>
      <c r="O9" s="21"/>
      <c r="P9" s="21"/>
      <c r="Q9" s="21"/>
      <c r="R9" s="21"/>
      <c r="S9" s="21"/>
      <c r="T9" s="21"/>
      <c r="U9" s="21"/>
      <c r="V9" s="21"/>
      <c r="W9" s="21"/>
      <c r="X9" s="21"/>
      <c r="Y9" s="21"/>
      <c r="Z9" s="21"/>
      <c r="AA9" s="21"/>
      <c r="AB9" s="21"/>
      <c r="AC9" s="21"/>
      <c r="AD9" s="21"/>
      <c r="AE9" s="21"/>
      <c r="AF9" s="21"/>
      <c r="AG9" s="21"/>
      <c r="AH9" s="22"/>
      <c r="AI9" s="20"/>
      <c r="AJ9" s="20"/>
      <c r="AK9" s="7"/>
      <c r="AL9" s="38"/>
      <c r="AM9" s="38"/>
      <c r="AN9" s="38"/>
      <c r="AO9" s="7"/>
      <c r="AP9" s="8"/>
    </row>
    <row r="10" spans="1:42" ht="16.5" customHeight="1">
      <c r="A10" s="6">
        <f t="shared" si="0"/>
        <v>4</v>
      </c>
      <c r="B10" t="s">
        <v>235</v>
      </c>
      <c r="C10" s="134" t="s">
        <v>486</v>
      </c>
      <c r="D10" s="135" t="s">
        <v>265</v>
      </c>
      <c r="E10" s="153" t="s">
        <v>266</v>
      </c>
      <c r="F10" s="16"/>
      <c r="G10" s="14"/>
      <c r="H10" s="14"/>
      <c r="I10" s="19"/>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2"/>
      <c r="AI10" s="20"/>
      <c r="AJ10" s="20"/>
      <c r="AK10" s="7"/>
      <c r="AL10" s="38"/>
      <c r="AM10" s="38"/>
      <c r="AN10" s="38"/>
      <c r="AO10" s="7"/>
      <c r="AP10" s="11"/>
    </row>
    <row r="11" spans="1:42" ht="16.5" customHeight="1">
      <c r="A11" s="6">
        <f t="shared" si="0"/>
        <v>5</v>
      </c>
      <c r="B11" t="s">
        <v>479</v>
      </c>
      <c r="C11" s="134" t="s">
        <v>487</v>
      </c>
      <c r="D11" s="135" t="s">
        <v>188</v>
      </c>
      <c r="E11" s="153" t="s">
        <v>189</v>
      </c>
      <c r="F11" s="16"/>
      <c r="G11" s="14"/>
      <c r="H11" s="14"/>
      <c r="I11" s="19"/>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2"/>
      <c r="AI11" s="20"/>
      <c r="AJ11" s="20"/>
      <c r="AK11" s="7"/>
      <c r="AL11" s="38"/>
      <c r="AM11" s="38"/>
      <c r="AN11" s="38"/>
      <c r="AO11" s="7"/>
      <c r="AP11" s="11"/>
    </row>
    <row r="12" spans="1:42" ht="16.5" customHeight="1">
      <c r="A12" s="6">
        <f t="shared" si="0"/>
        <v>6</v>
      </c>
      <c r="B12" t="s">
        <v>479</v>
      </c>
      <c r="C12" s="134" t="s">
        <v>488</v>
      </c>
      <c r="D12" s="135" t="s">
        <v>177</v>
      </c>
      <c r="E12" s="153" t="s">
        <v>178</v>
      </c>
      <c r="F12" s="16"/>
      <c r="G12" s="14"/>
      <c r="H12" s="14"/>
      <c r="I12" s="19"/>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6"/>
      <c r="AG12" s="116"/>
      <c r="AH12" s="118"/>
      <c r="AK12" s="11"/>
      <c r="AL12" s="120"/>
      <c r="AM12" s="120"/>
      <c r="AN12" s="120"/>
    </row>
    <row r="13" spans="1:42" ht="16.5" customHeight="1">
      <c r="A13" s="6">
        <f t="shared" si="0"/>
        <v>7</v>
      </c>
      <c r="B13" t="s">
        <v>479</v>
      </c>
      <c r="C13" s="134" t="s">
        <v>489</v>
      </c>
      <c r="D13" s="135" t="s">
        <v>349</v>
      </c>
      <c r="E13" s="153" t="s">
        <v>350</v>
      </c>
      <c r="F13" s="16"/>
      <c r="G13" s="14"/>
      <c r="H13" s="14"/>
      <c r="I13" s="19"/>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9"/>
      <c r="AI13" s="7"/>
      <c r="AJ13" s="7"/>
      <c r="AK13" s="7"/>
      <c r="AL13" s="7"/>
      <c r="AM13" s="7"/>
      <c r="AN13" s="7"/>
      <c r="AO13" s="7"/>
    </row>
    <row r="14" spans="1:42" ht="16.5" customHeight="1">
      <c r="A14" s="6">
        <f t="shared" si="0"/>
        <v>8</v>
      </c>
      <c r="B14" t="s">
        <v>479</v>
      </c>
      <c r="C14" s="134" t="s">
        <v>490</v>
      </c>
      <c r="D14" s="135" t="s">
        <v>184</v>
      </c>
      <c r="E14" s="153"/>
      <c r="F14" s="16"/>
      <c r="G14" s="14"/>
      <c r="H14" s="14"/>
      <c r="I14" s="19"/>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8"/>
      <c r="AK14" s="11"/>
      <c r="AL14" s="120"/>
      <c r="AM14" s="120"/>
      <c r="AN14" s="120"/>
    </row>
    <row r="15" spans="1:42" ht="16.5" customHeight="1">
      <c r="A15" s="6">
        <f>1+A14</f>
        <v>9</v>
      </c>
      <c r="B15" t="s">
        <v>479</v>
      </c>
      <c r="C15" s="134" t="s">
        <v>491</v>
      </c>
      <c r="D15" s="135" t="s">
        <v>234</v>
      </c>
      <c r="E15" s="153"/>
      <c r="F15" s="16"/>
      <c r="G15" s="14"/>
      <c r="H15" s="14"/>
      <c r="I15" s="19"/>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8"/>
      <c r="AK15" s="11"/>
      <c r="AL15" s="120"/>
      <c r="AM15" s="120"/>
      <c r="AN15" s="120"/>
    </row>
    <row r="16" spans="1:42" ht="16.5" customHeight="1">
      <c r="A16" s="6">
        <f t="shared" ref="A16:A74" si="1">1+A15</f>
        <v>10</v>
      </c>
      <c r="B16" t="s">
        <v>235</v>
      </c>
      <c r="C16" s="134" t="s">
        <v>492</v>
      </c>
      <c r="D16" s="135" t="s">
        <v>239</v>
      </c>
      <c r="E16" s="153"/>
      <c r="F16" s="16"/>
      <c r="G16" s="14"/>
      <c r="H16" s="14"/>
      <c r="I16" s="19"/>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8"/>
      <c r="AK16" s="11"/>
      <c r="AL16" s="120"/>
      <c r="AM16" s="120"/>
      <c r="AN16" s="120"/>
    </row>
    <row r="17" spans="1:40" ht="16.5" customHeight="1">
      <c r="A17" s="6">
        <f t="shared" si="1"/>
        <v>11</v>
      </c>
      <c r="B17" t="s">
        <v>479</v>
      </c>
      <c r="C17" s="134" t="s">
        <v>493</v>
      </c>
      <c r="D17" s="135" t="s">
        <v>124</v>
      </c>
      <c r="E17" s="153"/>
      <c r="F17" s="16"/>
      <c r="G17" s="115"/>
      <c r="H17" s="14"/>
      <c r="I17" s="19"/>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3"/>
      <c r="AK17" s="11"/>
      <c r="AL17" s="120"/>
      <c r="AM17" s="120"/>
      <c r="AN17" s="120"/>
    </row>
    <row r="18" spans="1:40" ht="16.5" customHeight="1">
      <c r="A18" s="6">
        <f t="shared" si="1"/>
        <v>12</v>
      </c>
      <c r="B18" t="s">
        <v>479</v>
      </c>
      <c r="C18" s="134" t="s">
        <v>494</v>
      </c>
      <c r="D18" s="14" t="s">
        <v>403</v>
      </c>
      <c r="E18" s="153" t="s">
        <v>404</v>
      </c>
      <c r="F18" s="136"/>
      <c r="G18" s="14"/>
      <c r="H18" s="14"/>
      <c r="I18" s="19"/>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3"/>
      <c r="AK18" s="11"/>
      <c r="AL18" s="120"/>
      <c r="AM18" s="120"/>
      <c r="AN18" s="120"/>
    </row>
    <row r="19" spans="1:40" ht="16.5" customHeight="1">
      <c r="A19" s="6">
        <f t="shared" si="1"/>
        <v>13</v>
      </c>
      <c r="B19" t="s">
        <v>479</v>
      </c>
      <c r="C19" s="134" t="s">
        <v>495</v>
      </c>
      <c r="D19" s="14" t="s">
        <v>208</v>
      </c>
      <c r="E19" s="153" t="s">
        <v>209</v>
      </c>
      <c r="F19" s="136"/>
      <c r="G19" s="14"/>
      <c r="H19" s="14"/>
      <c r="I19" s="19"/>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3"/>
      <c r="AK19" s="11"/>
      <c r="AL19" s="120"/>
      <c r="AM19" s="120"/>
      <c r="AN19" s="120"/>
    </row>
    <row r="20" spans="1:40" ht="16.5" customHeight="1">
      <c r="A20" s="6">
        <f t="shared" si="1"/>
        <v>14</v>
      </c>
      <c r="B20" s="109" t="s">
        <v>156</v>
      </c>
      <c r="C20" s="134" t="s">
        <v>496</v>
      </c>
      <c r="D20" s="14" t="s">
        <v>288</v>
      </c>
      <c r="E20" s="153" t="s">
        <v>289</v>
      </c>
      <c r="F20" s="136"/>
      <c r="G20" s="14"/>
      <c r="H20" s="14"/>
      <c r="I20" s="19"/>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3"/>
      <c r="AK20" s="11"/>
      <c r="AL20" s="120"/>
      <c r="AM20" s="120"/>
      <c r="AN20" s="120"/>
    </row>
    <row r="21" spans="1:40" ht="16.5" customHeight="1">
      <c r="A21" s="6">
        <f t="shared" si="1"/>
        <v>15</v>
      </c>
      <c r="B21" s="109" t="s">
        <v>156</v>
      </c>
      <c r="C21" s="134" t="s">
        <v>497</v>
      </c>
      <c r="D21" s="14" t="s">
        <v>181</v>
      </c>
      <c r="E21" s="153"/>
      <c r="F21" s="136"/>
      <c r="G21" s="14"/>
      <c r="H21" s="14"/>
      <c r="I21" s="19"/>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3"/>
      <c r="AK21" s="11"/>
      <c r="AL21" s="120"/>
      <c r="AM21" s="120"/>
      <c r="AN21" s="120"/>
    </row>
    <row r="22" spans="1:40" ht="16.5" customHeight="1">
      <c r="A22" s="6">
        <f t="shared" si="1"/>
        <v>16</v>
      </c>
      <c r="B22" s="109" t="s">
        <v>156</v>
      </c>
      <c r="C22" s="134" t="s">
        <v>498</v>
      </c>
      <c r="D22" s="14" t="s">
        <v>160</v>
      </c>
      <c r="E22" s="153"/>
      <c r="F22" s="136"/>
      <c r="G22" s="14"/>
      <c r="H22" s="14"/>
      <c r="I22" s="19"/>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3"/>
      <c r="AK22" s="11"/>
      <c r="AL22" s="120"/>
      <c r="AM22" s="120"/>
      <c r="AN22" s="120"/>
    </row>
    <row r="23" spans="1:40" ht="16.5" customHeight="1">
      <c r="A23" s="6">
        <f t="shared" si="1"/>
        <v>17</v>
      </c>
      <c r="B23" s="109" t="s">
        <v>156</v>
      </c>
      <c r="C23" s="134" t="s">
        <v>499</v>
      </c>
      <c r="D23" s="14" t="s">
        <v>202</v>
      </c>
      <c r="E23" s="153" t="s">
        <v>203</v>
      </c>
      <c r="F23" s="136"/>
      <c r="G23" s="14"/>
      <c r="H23" s="14"/>
      <c r="I23" s="19"/>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3"/>
      <c r="AK23" s="11"/>
      <c r="AL23" s="120"/>
      <c r="AM23" s="120"/>
      <c r="AN23" s="120"/>
    </row>
    <row r="24" spans="1:40" ht="16.5" customHeight="1">
      <c r="A24" s="6">
        <f t="shared" si="1"/>
        <v>18</v>
      </c>
      <c r="B24" s="109" t="s">
        <v>156</v>
      </c>
      <c r="C24" s="134" t="s">
        <v>500</v>
      </c>
      <c r="D24" s="14" t="s">
        <v>134</v>
      </c>
      <c r="E24" s="153" t="s">
        <v>141</v>
      </c>
      <c r="F24" s="136"/>
      <c r="G24" s="14"/>
      <c r="H24" s="14"/>
      <c r="I24" s="19"/>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3"/>
      <c r="AK24" s="11"/>
      <c r="AL24" s="120"/>
      <c r="AM24" s="120"/>
      <c r="AN24" s="120"/>
    </row>
    <row r="25" spans="1:40" ht="16.5" customHeight="1">
      <c r="A25" s="6">
        <f t="shared" si="1"/>
        <v>19</v>
      </c>
      <c r="B25" s="109" t="s">
        <v>156</v>
      </c>
      <c r="C25" s="134" t="s">
        <v>501</v>
      </c>
      <c r="D25" s="14" t="s">
        <v>152</v>
      </c>
      <c r="E25" s="153" t="s">
        <v>153</v>
      </c>
      <c r="F25" s="136"/>
      <c r="G25" s="14"/>
      <c r="H25" s="14"/>
      <c r="I25" s="19"/>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3"/>
      <c r="AK25" s="11"/>
      <c r="AL25" s="120"/>
      <c r="AM25" s="120"/>
      <c r="AN25" s="120"/>
    </row>
    <row r="26" spans="1:40" ht="16.5" customHeight="1">
      <c r="A26" s="6">
        <f t="shared" si="1"/>
        <v>20</v>
      </c>
      <c r="B26" s="109" t="s">
        <v>156</v>
      </c>
      <c r="C26" s="134" t="s">
        <v>502</v>
      </c>
      <c r="D26" s="14" t="s">
        <v>416</v>
      </c>
      <c r="E26" s="153" t="s">
        <v>417</v>
      </c>
      <c r="F26" s="136"/>
      <c r="G26" s="14"/>
      <c r="H26" s="14"/>
      <c r="I26" s="19"/>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3"/>
      <c r="AK26" s="11"/>
      <c r="AL26" s="120"/>
      <c r="AM26" s="120"/>
      <c r="AN26" s="120"/>
    </row>
    <row r="27" spans="1:40" ht="16.5" customHeight="1">
      <c r="A27" s="6">
        <f t="shared" si="1"/>
        <v>21</v>
      </c>
      <c r="B27" s="109" t="s">
        <v>156</v>
      </c>
      <c r="C27" s="134" t="s">
        <v>503</v>
      </c>
      <c r="D27" s="14" t="s">
        <v>326</v>
      </c>
      <c r="E27" s="153"/>
      <c r="F27" s="136"/>
      <c r="G27" s="14"/>
      <c r="H27" s="14"/>
      <c r="I27" s="19"/>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3"/>
      <c r="AK27" s="11"/>
      <c r="AL27" s="120"/>
      <c r="AM27" s="120"/>
      <c r="AN27" s="120"/>
    </row>
    <row r="28" spans="1:40" ht="16.5" customHeight="1">
      <c r="A28" s="6">
        <f t="shared" si="1"/>
        <v>22</v>
      </c>
      <c r="B28" s="109" t="s">
        <v>156</v>
      </c>
      <c r="C28" s="134" t="s">
        <v>504</v>
      </c>
      <c r="D28" s="14" t="s">
        <v>169</v>
      </c>
      <c r="E28" s="153" t="s">
        <v>170</v>
      </c>
      <c r="F28" s="136"/>
      <c r="G28" s="14"/>
      <c r="H28" s="14"/>
      <c r="I28" s="19"/>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3"/>
      <c r="AK28" s="11"/>
      <c r="AL28" s="120"/>
      <c r="AM28" s="120"/>
      <c r="AN28" s="120"/>
    </row>
    <row r="29" spans="1:40" ht="16.5" customHeight="1">
      <c r="A29" s="6">
        <f t="shared" si="1"/>
        <v>23</v>
      </c>
      <c r="B29" s="109" t="s">
        <v>156</v>
      </c>
      <c r="C29" s="134" t="s">
        <v>505</v>
      </c>
      <c r="D29" s="14" t="s">
        <v>244</v>
      </c>
      <c r="E29" s="153"/>
      <c r="F29" s="136"/>
      <c r="G29" s="14"/>
      <c r="H29" s="14"/>
      <c r="I29" s="19"/>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3"/>
      <c r="AK29" s="11"/>
      <c r="AL29" s="120"/>
      <c r="AM29" s="120"/>
      <c r="AN29" s="120"/>
    </row>
    <row r="30" spans="1:40" ht="16.5" customHeight="1">
      <c r="A30" s="6">
        <f t="shared" si="1"/>
        <v>24</v>
      </c>
      <c r="B30" s="109" t="s">
        <v>156</v>
      </c>
      <c r="C30" s="134" t="s">
        <v>506</v>
      </c>
      <c r="D30" s="14" t="s">
        <v>447</v>
      </c>
      <c r="E30" s="153" t="s">
        <v>448</v>
      </c>
      <c r="F30" s="136"/>
      <c r="G30" s="14"/>
      <c r="H30" s="14"/>
      <c r="I30" s="19"/>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3"/>
      <c r="AK30" s="11"/>
      <c r="AL30" s="120"/>
      <c r="AM30" s="120"/>
      <c r="AN30" s="120"/>
    </row>
    <row r="31" spans="1:40" ht="16.5" customHeight="1">
      <c r="A31" s="6">
        <f t="shared" si="1"/>
        <v>25</v>
      </c>
      <c r="B31" s="109" t="s">
        <v>156</v>
      </c>
      <c r="C31" s="134" t="s">
        <v>507</v>
      </c>
      <c r="D31" s="14" t="s">
        <v>315</v>
      </c>
      <c r="E31" s="153" t="s">
        <v>316</v>
      </c>
      <c r="F31" s="136"/>
      <c r="G31" s="14"/>
      <c r="H31" s="14"/>
      <c r="I31" s="19"/>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3"/>
      <c r="AK31" s="11"/>
      <c r="AL31" s="120"/>
      <c r="AM31" s="120"/>
      <c r="AN31" s="120"/>
    </row>
    <row r="32" spans="1:40" ht="16.5" customHeight="1">
      <c r="A32" s="6">
        <f t="shared" si="1"/>
        <v>26</v>
      </c>
      <c r="B32" s="109" t="s">
        <v>156</v>
      </c>
      <c r="C32" s="134" t="s">
        <v>508</v>
      </c>
      <c r="D32" s="14" t="s">
        <v>387</v>
      </c>
      <c r="E32" s="153" t="s">
        <v>388</v>
      </c>
      <c r="F32" s="136"/>
      <c r="G32" s="14"/>
      <c r="H32" s="14"/>
      <c r="I32" s="19"/>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3"/>
      <c r="AK32" s="11"/>
      <c r="AL32" s="120"/>
      <c r="AM32" s="120"/>
      <c r="AN32" s="120"/>
    </row>
    <row r="33" spans="1:40" ht="16.5" customHeight="1">
      <c r="A33" s="6">
        <f t="shared" si="1"/>
        <v>27</v>
      </c>
      <c r="B33" t="s">
        <v>392</v>
      </c>
      <c r="C33" s="134" t="s">
        <v>509</v>
      </c>
      <c r="D33" s="14" t="s">
        <v>396</v>
      </c>
      <c r="E33" s="153" t="s">
        <v>397</v>
      </c>
      <c r="F33" s="136"/>
      <c r="G33" s="115"/>
      <c r="H33" s="14"/>
      <c r="I33" s="19"/>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3"/>
      <c r="AK33" s="11"/>
      <c r="AL33" s="120"/>
      <c r="AM33" s="120"/>
      <c r="AN33" s="120"/>
    </row>
    <row r="34" spans="1:40" ht="16.5" customHeight="1">
      <c r="A34" s="6">
        <f t="shared" si="1"/>
        <v>28</v>
      </c>
      <c r="B34" s="109" t="s">
        <v>156</v>
      </c>
      <c r="C34" s="134" t="s">
        <v>510</v>
      </c>
      <c r="D34" s="14" t="s">
        <v>332</v>
      </c>
      <c r="E34" s="153" t="s">
        <v>333</v>
      </c>
      <c r="F34" s="136"/>
      <c r="G34" s="14"/>
      <c r="H34" s="14"/>
      <c r="I34" s="19"/>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3"/>
      <c r="AK34" s="11"/>
      <c r="AL34" s="120"/>
      <c r="AM34" s="120"/>
      <c r="AN34" s="120"/>
    </row>
    <row r="35" spans="1:40" ht="16.5" customHeight="1">
      <c r="A35" s="6">
        <f t="shared" si="1"/>
        <v>29</v>
      </c>
      <c r="B35" t="s">
        <v>453</v>
      </c>
      <c r="C35" s="134" t="s">
        <v>511</v>
      </c>
      <c r="D35" s="14" t="s">
        <v>194</v>
      </c>
      <c r="E35" s="153"/>
      <c r="F35" s="136"/>
      <c r="G35" s="14"/>
      <c r="H35" s="14"/>
      <c r="I35" s="19"/>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3"/>
      <c r="AK35" s="11"/>
      <c r="AL35" s="120"/>
      <c r="AM35" s="120"/>
      <c r="AN35" s="120"/>
    </row>
    <row r="36" spans="1:40" ht="16.5" customHeight="1">
      <c r="A36" s="6">
        <f t="shared" si="1"/>
        <v>30</v>
      </c>
      <c r="B36" s="109" t="s">
        <v>156</v>
      </c>
      <c r="C36" s="134" t="s">
        <v>512</v>
      </c>
      <c r="D36" s="14" t="s">
        <v>261</v>
      </c>
      <c r="E36" s="153" t="s">
        <v>262</v>
      </c>
      <c r="F36" s="136"/>
      <c r="G36" s="14"/>
      <c r="H36" s="14"/>
      <c r="I36" s="19"/>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3"/>
      <c r="AK36" s="11"/>
      <c r="AL36" s="120"/>
      <c r="AM36" s="120"/>
      <c r="AN36" s="120"/>
    </row>
    <row r="37" spans="1:40" ht="16.5" customHeight="1">
      <c r="A37" s="6">
        <f t="shared" si="1"/>
        <v>31</v>
      </c>
      <c r="B37" t="s">
        <v>453</v>
      </c>
      <c r="C37" s="134" t="s">
        <v>513</v>
      </c>
      <c r="D37" s="14" t="s">
        <v>145</v>
      </c>
      <c r="E37" s="153" t="s">
        <v>146</v>
      </c>
      <c r="F37" s="136"/>
      <c r="G37" s="14"/>
      <c r="H37" s="14"/>
      <c r="I37" s="19"/>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3"/>
      <c r="AK37" s="11"/>
      <c r="AL37" s="120"/>
      <c r="AM37" s="120"/>
      <c r="AN37" s="120"/>
    </row>
    <row r="38" spans="1:40" ht="16.5" customHeight="1">
      <c r="A38" s="6">
        <f t="shared" si="1"/>
        <v>32</v>
      </c>
      <c r="B38" t="s">
        <v>453</v>
      </c>
      <c r="C38" s="134" t="s">
        <v>514</v>
      </c>
      <c r="D38" s="14" t="s">
        <v>239</v>
      </c>
      <c r="E38" s="153"/>
      <c r="F38" s="136"/>
      <c r="G38" s="14"/>
      <c r="H38" s="14"/>
      <c r="I38" s="19"/>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3"/>
      <c r="AK38" s="11"/>
      <c r="AL38" s="120"/>
      <c r="AM38" s="120"/>
      <c r="AN38" s="120"/>
    </row>
    <row r="39" spans="1:40" ht="16.5" customHeight="1">
      <c r="A39" s="6">
        <f t="shared" si="1"/>
        <v>33</v>
      </c>
      <c r="B39" s="109" t="s">
        <v>156</v>
      </c>
      <c r="C39" s="134" t="s">
        <v>515</v>
      </c>
      <c r="D39" s="14" t="s">
        <v>422</v>
      </c>
      <c r="E39" s="153" t="s">
        <v>423</v>
      </c>
      <c r="F39" s="136"/>
      <c r="G39" s="14"/>
      <c r="H39" s="14"/>
      <c r="I39" s="19"/>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3"/>
      <c r="AK39" s="11"/>
      <c r="AL39" s="120"/>
      <c r="AM39" s="120"/>
      <c r="AN39" s="120"/>
    </row>
    <row r="40" spans="1:40" ht="16.5" customHeight="1">
      <c r="A40" s="6">
        <f t="shared" si="1"/>
        <v>34</v>
      </c>
      <c r="B40" s="109" t="s">
        <v>156</v>
      </c>
      <c r="C40" s="134" t="s">
        <v>516</v>
      </c>
      <c r="D40" s="14" t="s">
        <v>309</v>
      </c>
      <c r="E40" s="153" t="s">
        <v>310</v>
      </c>
      <c r="F40" s="136"/>
      <c r="G40" s="14"/>
      <c r="H40" s="14"/>
      <c r="I40" s="19"/>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3"/>
      <c r="AK40" s="11"/>
      <c r="AL40" s="120"/>
      <c r="AM40" s="120"/>
      <c r="AN40" s="120"/>
    </row>
    <row r="41" spans="1:40" ht="16.5" customHeight="1">
      <c r="A41" s="6">
        <f t="shared" si="1"/>
        <v>35</v>
      </c>
      <c r="B41" s="109" t="s">
        <v>156</v>
      </c>
      <c r="C41" s="134" t="s">
        <v>517</v>
      </c>
      <c r="D41" s="14" t="s">
        <v>248</v>
      </c>
      <c r="E41" s="153" t="s">
        <v>249</v>
      </c>
      <c r="F41" s="136"/>
      <c r="G41" s="14"/>
      <c r="H41" s="14"/>
      <c r="I41" s="19"/>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3"/>
      <c r="AK41" s="11"/>
      <c r="AL41" s="120"/>
      <c r="AM41" s="120"/>
      <c r="AN41" s="120"/>
    </row>
    <row r="42" spans="1:40" ht="16.5" customHeight="1">
      <c r="A42" s="6">
        <f t="shared" si="1"/>
        <v>36</v>
      </c>
      <c r="B42" s="109" t="s">
        <v>156</v>
      </c>
      <c r="C42" s="134" t="s">
        <v>518</v>
      </c>
      <c r="D42" s="14" t="s">
        <v>319</v>
      </c>
      <c r="E42" s="153" t="s">
        <v>320</v>
      </c>
      <c r="F42" s="136"/>
      <c r="G42" s="14"/>
      <c r="H42" s="14"/>
      <c r="I42" s="19"/>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3"/>
      <c r="AK42" s="11"/>
      <c r="AL42" s="120"/>
      <c r="AM42" s="120"/>
      <c r="AN42" s="120"/>
    </row>
    <row r="43" spans="1:40" ht="16.5" customHeight="1">
      <c r="A43" s="6">
        <f t="shared" si="1"/>
        <v>37</v>
      </c>
      <c r="B43" t="s">
        <v>453</v>
      </c>
      <c r="C43" s="134" t="s">
        <v>519</v>
      </c>
      <c r="D43" s="14" t="s">
        <v>349</v>
      </c>
      <c r="E43" s="153" t="s">
        <v>350</v>
      </c>
      <c r="F43" s="136"/>
      <c r="G43" s="14"/>
      <c r="H43" s="14"/>
      <c r="I43" s="19"/>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3"/>
      <c r="AK43" s="11"/>
      <c r="AL43" s="120"/>
      <c r="AM43" s="120"/>
      <c r="AN43" s="120"/>
    </row>
    <row r="44" spans="1:40" ht="16.5" customHeight="1">
      <c r="A44" s="6">
        <f t="shared" si="1"/>
        <v>38</v>
      </c>
      <c r="B44" s="109" t="s">
        <v>156</v>
      </c>
      <c r="C44" s="134" t="s">
        <v>520</v>
      </c>
      <c r="D44" s="14" t="s">
        <v>255</v>
      </c>
      <c r="E44" s="153" t="s">
        <v>256</v>
      </c>
      <c r="F44" s="136"/>
      <c r="G44" s="14"/>
      <c r="H44" s="14"/>
      <c r="I44" s="19"/>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3"/>
      <c r="AK44" s="11"/>
      <c r="AL44" s="120"/>
      <c r="AM44" s="120"/>
      <c r="AN44" s="120"/>
    </row>
    <row r="45" spans="1:40" ht="16.5" customHeight="1">
      <c r="A45" s="6">
        <f t="shared" si="1"/>
        <v>39</v>
      </c>
      <c r="B45" s="109" t="s">
        <v>156</v>
      </c>
      <c r="C45" s="134" t="s">
        <v>521</v>
      </c>
      <c r="D45" s="14" t="s">
        <v>278</v>
      </c>
      <c r="E45" s="153" t="s">
        <v>279</v>
      </c>
      <c r="F45" s="136"/>
      <c r="G45" s="14"/>
      <c r="H45" s="14"/>
      <c r="I45" s="19"/>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3"/>
      <c r="AK45" s="11"/>
      <c r="AL45" s="120"/>
      <c r="AM45" s="120"/>
      <c r="AN45" s="120"/>
    </row>
    <row r="46" spans="1:40" ht="16.5" customHeight="1">
      <c r="A46" s="6">
        <f t="shared" si="1"/>
        <v>40</v>
      </c>
      <c r="B46" s="109" t="s">
        <v>156</v>
      </c>
      <c r="C46" s="134" t="s">
        <v>522</v>
      </c>
      <c r="D46" s="14" t="s">
        <v>226</v>
      </c>
      <c r="E46" s="153" t="s">
        <v>305</v>
      </c>
      <c r="F46" s="136"/>
      <c r="G46" s="14"/>
      <c r="H46" s="14"/>
      <c r="I46" s="19"/>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3"/>
      <c r="AK46" s="11"/>
      <c r="AL46" s="120"/>
      <c r="AM46" s="120"/>
      <c r="AN46" s="120"/>
    </row>
    <row r="47" spans="1:40" ht="16.5" customHeight="1">
      <c r="A47" s="6">
        <f t="shared" si="1"/>
        <v>41</v>
      </c>
      <c r="B47" s="109" t="s">
        <v>156</v>
      </c>
      <c r="C47" s="134" t="s">
        <v>523</v>
      </c>
      <c r="D47" s="14" t="s">
        <v>363</v>
      </c>
      <c r="E47" s="153" t="s">
        <v>364</v>
      </c>
      <c r="F47" s="136"/>
      <c r="G47" s="14"/>
      <c r="H47" s="14"/>
      <c r="I47" s="19"/>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3"/>
      <c r="AK47" s="11"/>
      <c r="AL47" s="120"/>
      <c r="AM47" s="120"/>
      <c r="AN47" s="120"/>
    </row>
    <row r="48" spans="1:40" ht="16.5" customHeight="1">
      <c r="A48" s="6">
        <f t="shared" si="1"/>
        <v>42</v>
      </c>
      <c r="B48" s="109" t="s">
        <v>156</v>
      </c>
      <c r="C48" s="134" t="s">
        <v>524</v>
      </c>
      <c r="D48" s="14" t="s">
        <v>377</v>
      </c>
      <c r="E48" s="153" t="s">
        <v>378</v>
      </c>
      <c r="F48" s="136"/>
      <c r="G48" s="14"/>
      <c r="H48" s="14"/>
      <c r="I48" s="19"/>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3"/>
      <c r="AK48" s="11"/>
      <c r="AL48" s="120"/>
      <c r="AM48" s="120"/>
      <c r="AN48" s="120"/>
    </row>
    <row r="49" spans="1:40" ht="16.5" customHeight="1">
      <c r="A49" s="6">
        <f t="shared" si="1"/>
        <v>43</v>
      </c>
      <c r="B49" t="s">
        <v>453</v>
      </c>
      <c r="C49" s="134" t="s">
        <v>525</v>
      </c>
      <c r="D49" s="14" t="s">
        <v>356</v>
      </c>
      <c r="E49" s="153" t="s">
        <v>357</v>
      </c>
      <c r="F49" s="136"/>
      <c r="G49" s="14"/>
      <c r="H49" s="14"/>
      <c r="I49" s="19"/>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3"/>
      <c r="AK49" s="11"/>
      <c r="AL49" s="120"/>
      <c r="AM49" s="120"/>
      <c r="AN49" s="120"/>
    </row>
    <row r="50" spans="1:40" ht="16.5" customHeight="1">
      <c r="A50" s="6">
        <f t="shared" si="1"/>
        <v>44</v>
      </c>
      <c r="B50" s="109" t="s">
        <v>156</v>
      </c>
      <c r="C50" s="134" t="s">
        <v>526</v>
      </c>
      <c r="D50" s="14" t="s">
        <v>300</v>
      </c>
      <c r="E50" s="153" t="s">
        <v>301</v>
      </c>
      <c r="F50" s="136"/>
      <c r="G50" s="14"/>
      <c r="H50" s="14"/>
      <c r="I50" s="19"/>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3"/>
      <c r="AK50" s="11"/>
      <c r="AL50" s="120"/>
      <c r="AM50" s="120"/>
      <c r="AN50" s="120"/>
    </row>
    <row r="51" spans="1:40" ht="16.5" customHeight="1">
      <c r="A51" s="6">
        <f t="shared" si="1"/>
        <v>45</v>
      </c>
      <c r="B51" s="109" t="s">
        <v>156</v>
      </c>
      <c r="C51" s="134" t="s">
        <v>527</v>
      </c>
      <c r="D51" s="14" t="s">
        <v>152</v>
      </c>
      <c r="E51" s="153" t="s">
        <v>153</v>
      </c>
      <c r="F51" s="136"/>
      <c r="G51" s="14"/>
      <c r="H51" s="14"/>
      <c r="I51" s="19"/>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3"/>
      <c r="AK51" s="11"/>
      <c r="AL51" s="120"/>
      <c r="AM51" s="120"/>
      <c r="AN51" s="120"/>
    </row>
    <row r="52" spans="1:40" ht="16.5" customHeight="1">
      <c r="A52" s="6">
        <f t="shared" si="1"/>
        <v>46</v>
      </c>
      <c r="B52" t="s">
        <v>392</v>
      </c>
      <c r="C52" s="134" t="s">
        <v>528</v>
      </c>
      <c r="D52" s="14" t="s">
        <v>396</v>
      </c>
      <c r="E52" s="153" t="s">
        <v>397</v>
      </c>
      <c r="F52" s="136"/>
      <c r="G52" s="115"/>
      <c r="H52" s="14"/>
      <c r="I52" s="19"/>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3"/>
      <c r="AK52" s="11"/>
      <c r="AL52" s="120"/>
      <c r="AM52" s="120"/>
      <c r="AN52" s="120"/>
    </row>
    <row r="53" spans="1:40" ht="16.5" customHeight="1">
      <c r="A53" s="6">
        <f t="shared" si="1"/>
        <v>47</v>
      </c>
      <c r="B53" s="109" t="s">
        <v>156</v>
      </c>
      <c r="C53" s="134" t="s">
        <v>529</v>
      </c>
      <c r="D53" s="14" t="s">
        <v>343</v>
      </c>
      <c r="E53" s="153" t="s">
        <v>344</v>
      </c>
      <c r="F53" s="136"/>
      <c r="G53" s="14"/>
      <c r="H53" s="14"/>
      <c r="I53" s="19"/>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3"/>
      <c r="AK53" s="11"/>
      <c r="AL53" s="120"/>
      <c r="AM53" s="120"/>
      <c r="AN53" s="120"/>
    </row>
    <row r="54" spans="1:40" ht="16.5" customHeight="1">
      <c r="A54" s="6">
        <f t="shared" si="1"/>
        <v>48</v>
      </c>
      <c r="B54" s="109" t="s">
        <v>156</v>
      </c>
      <c r="C54" s="134" t="s">
        <v>530</v>
      </c>
      <c r="D54" s="14" t="s">
        <v>134</v>
      </c>
      <c r="E54" s="153" t="s">
        <v>135</v>
      </c>
      <c r="F54" s="136"/>
      <c r="G54" s="14"/>
      <c r="H54" s="14"/>
      <c r="I54" s="19"/>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3"/>
      <c r="AK54" s="11"/>
      <c r="AL54" s="120"/>
      <c r="AM54" s="120"/>
      <c r="AN54" s="120"/>
    </row>
    <row r="55" spans="1:40" ht="16.5" customHeight="1">
      <c r="A55" s="6">
        <f t="shared" si="1"/>
        <v>49</v>
      </c>
      <c r="B55" s="109" t="s">
        <v>156</v>
      </c>
      <c r="C55" s="134" t="s">
        <v>531</v>
      </c>
      <c r="D55" s="14" t="s">
        <v>163</v>
      </c>
      <c r="E55" s="153" t="s">
        <v>164</v>
      </c>
      <c r="F55" s="136"/>
      <c r="G55" s="14"/>
      <c r="H55" s="14"/>
      <c r="I55" s="19"/>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3"/>
      <c r="AK55" s="11"/>
      <c r="AL55" s="120"/>
      <c r="AM55" s="120"/>
      <c r="AN55" s="120"/>
    </row>
    <row r="56" spans="1:40" ht="16.5" customHeight="1">
      <c r="A56" s="6">
        <f t="shared" si="1"/>
        <v>50</v>
      </c>
      <c r="B56" s="109" t="s">
        <v>156</v>
      </c>
      <c r="C56" s="134" t="s">
        <v>532</v>
      </c>
      <c r="D56" s="14" t="s">
        <v>169</v>
      </c>
      <c r="E56" s="153" t="s">
        <v>170</v>
      </c>
      <c r="F56" s="136"/>
      <c r="G56" s="14"/>
      <c r="H56" s="14"/>
      <c r="I56" s="19"/>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3"/>
      <c r="AK56" s="11"/>
      <c r="AL56" s="120"/>
      <c r="AM56" s="120"/>
      <c r="AN56" s="120"/>
    </row>
    <row r="57" spans="1:40" ht="16.5" customHeight="1">
      <c r="A57" s="6">
        <f t="shared" si="1"/>
        <v>51</v>
      </c>
      <c r="B57" s="109" t="s">
        <v>156</v>
      </c>
      <c r="C57" s="134" t="s">
        <v>533</v>
      </c>
      <c r="D57" s="14" t="s">
        <v>429</v>
      </c>
      <c r="E57" s="153" t="s">
        <v>430</v>
      </c>
      <c r="F57" s="136"/>
      <c r="G57" s="14"/>
      <c r="H57" s="14"/>
      <c r="I57" s="19"/>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3"/>
      <c r="AK57" s="11"/>
      <c r="AL57" s="120"/>
      <c r="AM57" s="120"/>
      <c r="AN57" s="120"/>
    </row>
    <row r="58" spans="1:40" ht="16.5" customHeight="1">
      <c r="A58" s="6">
        <f t="shared" si="1"/>
        <v>52</v>
      </c>
      <c r="B58" t="s">
        <v>251</v>
      </c>
      <c r="C58" s="134" t="s">
        <v>534</v>
      </c>
      <c r="D58" s="14" t="s">
        <v>441</v>
      </c>
      <c r="E58" s="153" t="s">
        <v>442</v>
      </c>
      <c r="F58" s="136"/>
      <c r="G58" s="14"/>
      <c r="H58" s="14"/>
      <c r="I58" s="19"/>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3"/>
      <c r="AK58" s="11"/>
      <c r="AL58" s="120"/>
      <c r="AM58" s="120"/>
      <c r="AN58" s="120"/>
    </row>
    <row r="59" spans="1:40" ht="16.5" customHeight="1">
      <c r="A59" s="6">
        <f t="shared" si="1"/>
        <v>53</v>
      </c>
      <c r="B59" s="109" t="s">
        <v>156</v>
      </c>
      <c r="C59" s="134" t="s">
        <v>535</v>
      </c>
      <c r="D59" s="14" t="s">
        <v>199</v>
      </c>
      <c r="E59" s="153"/>
      <c r="F59" s="136"/>
      <c r="G59" s="14"/>
      <c r="H59" s="14"/>
      <c r="I59" s="19"/>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3"/>
      <c r="AK59" s="11"/>
      <c r="AL59" s="120"/>
      <c r="AM59" s="120"/>
      <c r="AN59" s="120"/>
    </row>
    <row r="60" spans="1:40" ht="16.5" customHeight="1">
      <c r="A60" s="6">
        <f t="shared" si="1"/>
        <v>54</v>
      </c>
      <c r="B60" t="s">
        <v>463</v>
      </c>
      <c r="C60" s="134" t="s">
        <v>536</v>
      </c>
      <c r="D60" s="14" t="s">
        <v>214</v>
      </c>
      <c r="E60" s="153"/>
      <c r="F60" s="136"/>
      <c r="G60" s="14"/>
      <c r="H60" s="14"/>
      <c r="I60" s="19"/>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3"/>
      <c r="AK60" s="11"/>
      <c r="AL60" s="120"/>
      <c r="AM60" s="120"/>
      <c r="AN60" s="120"/>
    </row>
    <row r="61" spans="1:40" ht="16.5" customHeight="1">
      <c r="A61" s="6">
        <f t="shared" si="1"/>
        <v>55</v>
      </c>
      <c r="B61" s="109" t="s">
        <v>156</v>
      </c>
      <c r="C61" s="134" t="s">
        <v>537</v>
      </c>
      <c r="D61" s="14" t="s">
        <v>169</v>
      </c>
      <c r="E61" s="153" t="s">
        <v>170</v>
      </c>
      <c r="F61" s="136"/>
      <c r="G61" s="14"/>
      <c r="H61" s="14"/>
      <c r="I61" s="19"/>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3"/>
      <c r="AK61" s="11"/>
      <c r="AL61" s="120"/>
      <c r="AM61" s="120"/>
      <c r="AN61" s="120"/>
    </row>
    <row r="62" spans="1:40" ht="16.5" customHeight="1">
      <c r="A62" s="6">
        <f t="shared" si="1"/>
        <v>56</v>
      </c>
      <c r="B62" t="s">
        <v>251</v>
      </c>
      <c r="C62" s="134" t="s">
        <v>538</v>
      </c>
      <c r="D62" s="14" t="s">
        <v>408</v>
      </c>
      <c r="E62" s="153" t="s">
        <v>409</v>
      </c>
      <c r="F62" s="136"/>
      <c r="G62" s="14"/>
      <c r="H62" s="14"/>
      <c r="I62" s="19"/>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3"/>
      <c r="AK62" s="11"/>
      <c r="AL62" s="120"/>
      <c r="AM62" s="120"/>
      <c r="AN62" s="120"/>
    </row>
    <row r="63" spans="1:40" ht="16.5" customHeight="1">
      <c r="A63" s="6">
        <f t="shared" si="1"/>
        <v>57</v>
      </c>
      <c r="B63" t="s">
        <v>463</v>
      </c>
      <c r="C63" s="134" t="s">
        <v>539</v>
      </c>
      <c r="D63" s="14" t="s">
        <v>371</v>
      </c>
      <c r="E63" s="153" t="s">
        <v>372</v>
      </c>
      <c r="F63" s="136"/>
      <c r="G63" s="14"/>
      <c r="H63" s="14"/>
      <c r="I63" s="19"/>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3"/>
      <c r="AK63" s="11"/>
      <c r="AL63" s="120"/>
      <c r="AM63" s="120"/>
      <c r="AN63" s="120"/>
    </row>
    <row r="64" spans="1:40" ht="16.5" customHeight="1">
      <c r="A64" s="6">
        <f t="shared" si="1"/>
        <v>58</v>
      </c>
      <c r="B64" t="s">
        <v>463</v>
      </c>
      <c r="C64" s="134" t="s">
        <v>540</v>
      </c>
      <c r="D64" s="14" t="s">
        <v>435</v>
      </c>
      <c r="E64" s="153" t="s">
        <v>436</v>
      </c>
      <c r="F64" s="136"/>
      <c r="G64" s="14"/>
      <c r="H64" s="14"/>
      <c r="I64" s="19"/>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3"/>
      <c r="AK64" s="11"/>
      <c r="AL64" s="120"/>
      <c r="AM64" s="120"/>
      <c r="AN64" s="120"/>
    </row>
    <row r="65" spans="1:41" ht="16.5" customHeight="1">
      <c r="A65" s="6">
        <f t="shared" si="1"/>
        <v>59</v>
      </c>
      <c r="B65" t="s">
        <v>463</v>
      </c>
      <c r="C65" s="134" t="s">
        <v>541</v>
      </c>
      <c r="D65" s="14" t="s">
        <v>337</v>
      </c>
      <c r="E65" s="153" t="s">
        <v>338</v>
      </c>
      <c r="F65" s="136"/>
      <c r="G65" s="14"/>
      <c r="H65" s="14"/>
      <c r="I65" s="19"/>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3"/>
      <c r="AK65" s="11"/>
      <c r="AL65" s="120"/>
      <c r="AM65" s="120"/>
      <c r="AN65" s="120"/>
    </row>
    <row r="66" spans="1:41" ht="16.5" customHeight="1">
      <c r="A66" s="6">
        <f t="shared" si="1"/>
        <v>60</v>
      </c>
      <c r="B66" t="s">
        <v>463</v>
      </c>
      <c r="C66" s="134" t="s">
        <v>542</v>
      </c>
      <c r="D66" s="14" t="s">
        <v>134</v>
      </c>
      <c r="E66" s="153" t="s">
        <v>135</v>
      </c>
      <c r="F66" s="136"/>
      <c r="G66" s="14"/>
      <c r="H66" s="14"/>
      <c r="I66" s="19"/>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3"/>
      <c r="AK66" s="11"/>
      <c r="AL66" s="120"/>
      <c r="AM66" s="120"/>
      <c r="AN66" s="120"/>
    </row>
    <row r="67" spans="1:41" ht="16.5" customHeight="1">
      <c r="A67" s="6">
        <f t="shared" si="1"/>
        <v>61</v>
      </c>
      <c r="B67" t="s">
        <v>463</v>
      </c>
      <c r="C67" s="134" t="s">
        <v>543</v>
      </c>
      <c r="D67" s="14" t="s">
        <v>226</v>
      </c>
      <c r="E67" s="153" t="s">
        <v>227</v>
      </c>
      <c r="F67" s="136"/>
      <c r="G67" s="14"/>
      <c r="H67" s="14"/>
      <c r="I67" s="19"/>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3"/>
      <c r="AK67" s="11"/>
      <c r="AL67" s="120"/>
      <c r="AM67" s="120"/>
      <c r="AN67" s="120"/>
    </row>
    <row r="68" spans="1:41" ht="16.5" customHeight="1">
      <c r="A68" s="6">
        <f t="shared" si="1"/>
        <v>62</v>
      </c>
      <c r="B68" t="s">
        <v>251</v>
      </c>
      <c r="C68" s="134" t="s">
        <v>544</v>
      </c>
      <c r="D68" s="14" t="s">
        <v>380</v>
      </c>
      <c r="E68" s="153" t="s">
        <v>380</v>
      </c>
      <c r="F68" s="136"/>
      <c r="G68" s="115"/>
      <c r="H68" s="14"/>
      <c r="I68" s="19"/>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3"/>
      <c r="AK68" s="11"/>
      <c r="AL68" s="120"/>
      <c r="AM68" s="120"/>
      <c r="AN68" s="120"/>
    </row>
    <row r="69" spans="1:41" ht="16.5" customHeight="1">
      <c r="A69" s="6">
        <f t="shared" si="1"/>
        <v>63</v>
      </c>
      <c r="B69" t="s">
        <v>465</v>
      </c>
      <c r="C69" s="134" t="s">
        <v>545</v>
      </c>
      <c r="D69" s="14" t="s">
        <v>219</v>
      </c>
      <c r="E69" s="153"/>
      <c r="F69" s="136"/>
      <c r="G69" s="14"/>
      <c r="H69" s="14"/>
      <c r="I69" s="19"/>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3"/>
      <c r="AK69" s="11"/>
      <c r="AL69" s="120"/>
      <c r="AM69" s="120"/>
      <c r="AN69" s="120"/>
    </row>
    <row r="70" spans="1:41" ht="16.5" customHeight="1">
      <c r="A70" s="6">
        <f t="shared" si="1"/>
        <v>64</v>
      </c>
      <c r="B70" t="s">
        <v>465</v>
      </c>
      <c r="C70" s="134" t="s">
        <v>546</v>
      </c>
      <c r="D70" s="14" t="s">
        <v>219</v>
      </c>
      <c r="E70" s="153"/>
      <c r="F70" s="136"/>
      <c r="G70" s="14"/>
      <c r="H70" s="14"/>
      <c r="I70" s="19"/>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3"/>
      <c r="AK70" s="11"/>
      <c r="AL70" s="120"/>
      <c r="AM70" s="120"/>
      <c r="AN70" s="120"/>
    </row>
    <row r="71" spans="1:41" ht="16.5" customHeight="1">
      <c r="A71" s="6">
        <f t="shared" si="1"/>
        <v>65</v>
      </c>
      <c r="B71" t="s">
        <v>465</v>
      </c>
      <c r="C71" s="134" t="s">
        <v>547</v>
      </c>
      <c r="D71" s="14" t="s">
        <v>326</v>
      </c>
      <c r="E71" s="153"/>
      <c r="F71" s="136"/>
      <c r="G71" s="14"/>
      <c r="H71" s="14"/>
      <c r="I71" s="19"/>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3"/>
      <c r="AK71" s="11"/>
      <c r="AL71" s="120"/>
      <c r="AM71" s="120"/>
      <c r="AN71" s="120"/>
    </row>
    <row r="72" spans="1:41" ht="16.5" customHeight="1">
      <c r="A72" s="6">
        <f t="shared" si="1"/>
        <v>66</v>
      </c>
      <c r="B72" t="s">
        <v>465</v>
      </c>
      <c r="C72" s="134" t="s">
        <v>548</v>
      </c>
      <c r="D72" s="14" t="s">
        <v>284</v>
      </c>
      <c r="E72" s="153"/>
      <c r="F72" s="136"/>
      <c r="G72" s="14"/>
      <c r="H72" s="14"/>
      <c r="I72" s="19"/>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3"/>
      <c r="AK72" s="11"/>
      <c r="AL72" s="120"/>
      <c r="AM72" s="120"/>
      <c r="AN72" s="120"/>
    </row>
    <row r="73" spans="1:41" ht="16.5" customHeight="1">
      <c r="A73" s="6">
        <f t="shared" si="1"/>
        <v>67</v>
      </c>
      <c r="B73" t="s">
        <v>465</v>
      </c>
      <c r="C73" s="134" t="s">
        <v>549</v>
      </c>
      <c r="D73" s="14" t="s">
        <v>231</v>
      </c>
      <c r="E73" s="153"/>
      <c r="F73" s="136"/>
      <c r="G73" s="14"/>
      <c r="H73" s="14"/>
      <c r="I73" s="19"/>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3"/>
      <c r="AK73" s="11"/>
      <c r="AL73" s="120"/>
      <c r="AM73" s="120"/>
      <c r="AN73" s="120"/>
    </row>
    <row r="74" spans="1:41" ht="16.5" customHeight="1">
      <c r="A74" s="6">
        <f t="shared" si="1"/>
        <v>68</v>
      </c>
      <c r="B74" t="s">
        <v>465</v>
      </c>
      <c r="C74" s="134" t="s">
        <v>550</v>
      </c>
      <c r="D74" s="14" t="s">
        <v>295</v>
      </c>
      <c r="E74" s="153" t="s">
        <v>296</v>
      </c>
      <c r="F74" s="136"/>
      <c r="G74" s="14"/>
      <c r="H74" s="14"/>
      <c r="I74" s="19"/>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3"/>
      <c r="AK74" s="11"/>
      <c r="AL74" s="120"/>
      <c r="AM74" s="120"/>
      <c r="AN74" s="120"/>
    </row>
    <row r="75" spans="1:41" ht="16.5" customHeight="1">
      <c r="B75" t="s">
        <v>479</v>
      </c>
      <c r="C75" s="137" t="s">
        <v>582</v>
      </c>
      <c r="D75" s="135" t="s">
        <v>580</v>
      </c>
      <c r="E75" s="168" t="s">
        <v>581</v>
      </c>
      <c r="F75" s="139"/>
      <c r="G75" s="140"/>
      <c r="H75" s="140"/>
      <c r="I75" s="141"/>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3"/>
      <c r="AK75" s="11"/>
      <c r="AL75" s="120"/>
      <c r="AM75" s="120"/>
      <c r="AN75" s="120"/>
    </row>
    <row r="76" spans="1:41" ht="16.5" customHeight="1">
      <c r="B76" s="124" t="s">
        <v>463</v>
      </c>
      <c r="C76" s="137" t="s">
        <v>587</v>
      </c>
      <c r="D76" s="14" t="s">
        <v>573</v>
      </c>
      <c r="E76" s="19" t="s">
        <v>571</v>
      </c>
      <c r="F76" s="139"/>
      <c r="G76" s="140"/>
      <c r="H76" s="140"/>
      <c r="I76" s="141"/>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3"/>
      <c r="AK76" s="11"/>
      <c r="AL76" s="120"/>
      <c r="AM76" s="120"/>
      <c r="AN76" s="120"/>
    </row>
    <row r="77" spans="1:41" ht="16.5" customHeight="1">
      <c r="B77" s="124"/>
      <c r="C77" s="137"/>
      <c r="D77" s="138"/>
      <c r="E77" s="154"/>
      <c r="F77" s="139"/>
      <c r="G77" s="140"/>
      <c r="H77" s="140"/>
      <c r="I77" s="141"/>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3"/>
      <c r="AK77" s="11"/>
      <c r="AL77" s="120"/>
      <c r="AM77" s="120"/>
      <c r="AN77" s="120"/>
    </row>
    <row r="78" spans="1:41" ht="16.5" customHeight="1">
      <c r="B78" s="104"/>
      <c r="C78" s="105" t="s">
        <v>78</v>
      </c>
      <c r="D78" s="105"/>
      <c r="E78" s="105"/>
      <c r="F78" s="107">
        <f>COUNTIF(ParticipationSeptembre16212223242830316[f. de nacimiento],"N1")+COUNTIF(ParticipationSeptembre16212223242830316[f. de nacimiento],"E")</f>
        <v>0</v>
      </c>
      <c r="G78" s="107">
        <f>COUNTIF(ParticipationSeptembre16212223242830316[29],"N1")+COUNTIF(ParticipationSeptembre16212223242830316[29],"E")</f>
        <v>0</v>
      </c>
      <c r="H78" s="107">
        <f>COUNTIF(ParticipationSeptembre16212223242830316[6],"N1")+COUNTIF(ParticipationSeptembre16212223242830316[6],"E")</f>
        <v>0</v>
      </c>
      <c r="I78" s="107">
        <f>COUNTIF(ParticipationSeptembre16212223242830316[13],"N1")+COUNTIF(ParticipationSeptembre16212223242830316[13],"E")</f>
        <v>0</v>
      </c>
      <c r="J78" s="107">
        <f>COUNTIF(ParticipationSeptembre16212223242830316[20],"N1")+COUNTIF(ParticipationSeptembre16212223242830316[20],"E")</f>
        <v>0</v>
      </c>
      <c r="K78" s="107">
        <f>COUNTIF(ParticipationSeptembre16212223242830316[27],"N1")+COUNTIF(ParticipationSeptembre16212223242830316[27],"E")</f>
        <v>0</v>
      </c>
      <c r="L78" s="107">
        <f>COUNTIF(ParticipationSeptembre16212223242830316[3],"N1")+COUNTIF(ParticipationSeptembre16212223242830316[3],"E")</f>
        <v>0</v>
      </c>
      <c r="M78" s="107">
        <f>COUNTIF(ParticipationSeptembre16212223242830316[10],"N1")+COUNTIF(ParticipationSeptembre16212223242830316[10],"E")</f>
        <v>0</v>
      </c>
      <c r="N78" s="107">
        <f>COUNTIF(ParticipationSeptembre16212223242830316[17],"N1")+COUNTIF(ParticipationSeptembre16212223242830316[17],"E")</f>
        <v>0</v>
      </c>
      <c r="O78" s="107">
        <f>COUNTIF(ParticipationSeptembre16212223242830316[24],"N1")+COUNTIF(ParticipationSeptembre16212223242830316[24],"E")</f>
        <v>0</v>
      </c>
      <c r="P78" s="107">
        <f>COUNTIF(ParticipationSeptembre16212223242830316[14],"N1")+COUNTIF(ParticipationSeptembre16212223242830316[14],"E")</f>
        <v>0</v>
      </c>
      <c r="Q78" s="107">
        <f>COUNTIF(ParticipationSeptembre16212223242830316[8],"N1")+COUNTIF(ParticipationSeptembre16212223242830316[8],"E")</f>
        <v>0</v>
      </c>
      <c r="R78" s="107">
        <f>COUNTIF(ParticipationSeptembre16212223242830316[15],"N1")+COUNTIF(ParticipationSeptembre16212223242830316[15],"E")</f>
        <v>0</v>
      </c>
      <c r="S78" s="107">
        <f>COUNTIF(ParticipationSeptembre16212223242830316[12],"N1")+COUNTIF(ParticipationSeptembre16212223242830316[12],"E")</f>
        <v>0</v>
      </c>
      <c r="T78" s="107">
        <f>COUNTIF(ParticipationSeptembre16212223242830316[19],"N1")+COUNTIF(ParticipationSeptembre16212223242830316[19],"E")</f>
        <v>0</v>
      </c>
      <c r="U78" s="107">
        <f>COUNTIF(ParticipationSeptembre16212223242830316[26],"N1")+COUNTIF(ParticipationSeptembre16212223242830316[26],"E")</f>
        <v>0</v>
      </c>
      <c r="V78" s="107">
        <f>COUNTIF(ParticipationSeptembre16212223242830316[2],"N1")+COUNTIF(ParticipationSeptembre16212223242830316[2],"E")</f>
        <v>0</v>
      </c>
      <c r="W78" s="107">
        <f>COUNTIF(ParticipationSeptembre16212223242830316[9],"N1")+COUNTIF(ParticipationSeptembre16212223242830316[9],"E")</f>
        <v>0</v>
      </c>
      <c r="X78" s="107">
        <f>COUNTIF(ParticipationSeptembre16212223242830316[16],"N1")+COUNTIF(ParticipationSeptembre16212223242830316[16],"E")</f>
        <v>0</v>
      </c>
      <c r="Y78" s="107">
        <f>COUNTIF(ParticipationSeptembre16212223242830316[23],"N1")+COUNTIF(ParticipationSeptembre16212223242830316[23],"E")</f>
        <v>0</v>
      </c>
      <c r="Z78" s="107">
        <f>COUNTIF(ParticipationSeptembre16212223242830316[*8],"N1")+COUNTIF(ParticipationSeptembre16212223242830316[*8],"E")</f>
        <v>0</v>
      </c>
      <c r="AA78" s="107">
        <f>COUNTIF(ParticipationSeptembre16212223242830316[*15],"N1")+COUNTIF(ParticipationSeptembre16212223242830316[*15],"E")</f>
        <v>0</v>
      </c>
      <c r="AB78" s="107">
        <f>COUNTIF(ParticipationSeptembre16212223242830316[22],"N1")+COUNTIF(ParticipationSeptembre16212223242830316[22],"E")</f>
        <v>0</v>
      </c>
      <c r="AC78" s="107">
        <f>COUNTIF(ParticipationSeptembre16212223242830316[*29],"N1")+COUNTIF(ParticipationSeptembre16212223242830316[*29],"E")</f>
        <v>0</v>
      </c>
      <c r="AD78" s="107">
        <f>COUNTIF(ParticipationSeptembre16212223242830316[*19],"N1")+COUNTIF(ParticipationSeptembre16212223242830316[*19],"E")</f>
        <v>0</v>
      </c>
      <c r="AE78" s="107">
        <f>COUNTIF(ParticipationSeptembre16212223242830316[*26],"N1")+COUNTIF(ParticipationSeptembre16212223242830316[*26],"E")</f>
        <v>0</v>
      </c>
      <c r="AF78" s="107">
        <f>COUNTIF(ParticipationSeptembre16212223242830316[*3],"N1")+COUNTIF(ParticipationSeptembre16212223242830316[*3],"E")</f>
        <v>0</v>
      </c>
      <c r="AG78" s="107">
        <f>COUNTIF(ParticipationSeptembre16212223242830316[*10],"N1")+COUNTIF(ParticipationSeptembre16212223242830316[*10],"E")</f>
        <v>0</v>
      </c>
      <c r="AH78" s="107">
        <f>COUNTIF(ParticipationSeptembre16212223242830316[*17],"N1")+COUNTIF(ParticipationSeptembre16212223242830316[*17],"E")</f>
        <v>0</v>
      </c>
      <c r="AI78" s="107">
        <f>COUNTIF(ParticipationSeptembre16212223242830316[*24],"N1")+COUNTIF(ParticipationSeptembre16212223242830316[*24],"E")</f>
        <v>0</v>
      </c>
      <c r="AJ78" s="107">
        <f>COUNTIF(ParticipationSeptembre16212223242830316[30],"N1")+COUNTIF(ParticipationSeptembre16212223242830316[30],"E")</f>
        <v>0</v>
      </c>
      <c r="AK78" s="107">
        <f>SUBTOTAL(109,ParticipationSeptembre16212223242830316[R])</f>
        <v>0</v>
      </c>
      <c r="AL78" s="107">
        <f>SUBTOTAL(109,ParticipationSeptembre16212223242830316[E])</f>
        <v>0</v>
      </c>
      <c r="AM78" s="107">
        <f>SUBTOTAL(109,ParticipationSeptembre16212223242830316[N1])</f>
        <v>0</v>
      </c>
      <c r="AN78" s="107">
        <f>SUBTOTAL(109,ParticipationSeptembre16212223242830316[P])</f>
        <v>0</v>
      </c>
      <c r="AO78" s="106"/>
    </row>
    <row r="79" spans="1:41" ht="16.5" customHeight="1"/>
    <row r="80" spans="1:41"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sheetData>
  <sheetProtection formatCells="0" formatColumns="0" formatRows="0" insertColumns="0" insertRows="0" insertHyperlinks="0" deleteColumns="0" deleteRows="0" sort="0" autoFilter="0" pivotTables="0"/>
  <mergeCells count="1">
    <mergeCell ref="AK5:AO5"/>
  </mergeCells>
  <conditionalFormatting sqref="AI7:AK77">
    <cfRule type="expression" dxfId="73" priority="17" stopIfTrue="1">
      <formula>AI7=Code2</formula>
    </cfRule>
  </conditionalFormatting>
  <conditionalFormatting sqref="AI7:AJ77">
    <cfRule type="expression" dxfId="72" priority="18" stopIfTrue="1">
      <formula>AI7=Code5</formula>
    </cfRule>
    <cfRule type="expression" dxfId="71" priority="19" stopIfTrue="1">
      <formula>AI7=Code4</formula>
    </cfRule>
    <cfRule type="expression" dxfId="70" priority="20" stopIfTrue="1">
      <formula>AI7=Code3</formula>
    </cfRule>
    <cfRule type="expression" dxfId="69" priority="21" stopIfTrue="1">
      <formula>AI7=Code1</formula>
    </cfRule>
  </conditionalFormatting>
  <conditionalFormatting sqref="F7:AH12 F15:AH15 G13:AH14">
    <cfRule type="expression" dxfId="68" priority="11" stopIfTrue="1">
      <formula>F7=Code2</formula>
    </cfRule>
  </conditionalFormatting>
  <conditionalFormatting sqref="F7:AH12 F15:AH15 G13:AH14">
    <cfRule type="expression" dxfId="67" priority="12" stopIfTrue="1">
      <formula>F7=Code5</formula>
    </cfRule>
    <cfRule type="expression" dxfId="66" priority="13" stopIfTrue="1">
      <formula>F7=Code4</formula>
    </cfRule>
    <cfRule type="expression" dxfId="65" priority="14" stopIfTrue="1">
      <formula>F7=Code3</formula>
    </cfRule>
    <cfRule type="expression" dxfId="64" priority="15" stopIfTrue="1">
      <formula>F7=Code1</formula>
    </cfRule>
  </conditionalFormatting>
  <conditionalFormatting sqref="F13">
    <cfRule type="expression" dxfId="63" priority="6" stopIfTrue="1">
      <formula>F13=Code2</formula>
    </cfRule>
  </conditionalFormatting>
  <conditionalFormatting sqref="F13">
    <cfRule type="expression" dxfId="62" priority="7" stopIfTrue="1">
      <formula>F13=Code5</formula>
    </cfRule>
    <cfRule type="expression" dxfId="61" priority="8" stopIfTrue="1">
      <formula>F13=Code4</formula>
    </cfRule>
    <cfRule type="expression" dxfId="60" priority="9" stopIfTrue="1">
      <formula>F13=Code3</formula>
    </cfRule>
    <cfRule type="expression" dxfId="59" priority="10" stopIfTrue="1">
      <formula>F13=Code1</formula>
    </cfRule>
  </conditionalFormatting>
  <conditionalFormatting sqref="F14">
    <cfRule type="expression" dxfId="58" priority="1" stopIfTrue="1">
      <formula>F14=Code2</formula>
    </cfRule>
  </conditionalFormatting>
  <conditionalFormatting sqref="F14">
    <cfRule type="expression" dxfId="57" priority="2" stopIfTrue="1">
      <formula>F14=Code5</formula>
    </cfRule>
    <cfRule type="expression" dxfId="56" priority="3" stopIfTrue="1">
      <formula>F14=Code4</formula>
    </cfRule>
    <cfRule type="expression" dxfId="55" priority="4" stopIfTrue="1">
      <formula>F14=Code3</formula>
    </cfRule>
    <cfRule type="expression" dxfId="54" priority="5" stopIfTrue="1">
      <formula>F14=Code1</formula>
    </cfRule>
  </conditionalFormatting>
  <conditionalFormatting sqref="AO7:AO77">
    <cfRule type="dataBar" priority="217">
      <dataBar>
        <cfvo type="min"/>
        <cfvo type="num" val="31"/>
        <color theme="4"/>
      </dataBar>
      <extLst>
        <ext xmlns:x14="http://schemas.microsoft.com/office/spreadsheetml/2009/9/main" uri="{B025F937-C7B1-47D3-B67F-A62EFF666E3E}">
          <x14:id>{26A76FE1-DB59-46EE-BCC0-D9C883AF8216}</x14:id>
        </ext>
      </extLst>
    </cfRule>
  </conditionalFormatting>
  <dataValidations count="1">
    <dataValidation type="list" errorStyle="warning" allowBlank="1" showInputMessage="1" showErrorMessage="1" errorTitle="Whoops!" error="The Student ID you entered isn't on the Student List sheet. You can click Yes to use what you entered but that Student ID won't be available on the Student Attendance Report sheet." sqref="B7:B77">
      <formula1>IDÉtudiant</formula1>
    </dataValidation>
  </dataValidations>
  <printOptions horizontalCentered="1"/>
  <pageMargins left="0.51181102362204722" right="0.51181102362204722" top="0.74803149606299213" bottom="0.74803149606299213" header="0.31496062992125984" footer="0.31496062992125984"/>
  <pageSetup paperSize="5" scale="52" fitToHeight="0" orientation="landscape" r:id="rId1"/>
  <headerFooter>
    <oddHeader>&amp;CMisión Santa Teresa de Avila
Lista de presencia de los grupos de catequesis
2019-2020</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26A76FE1-DB59-46EE-BCC0-D9C883AF8216}">
            <x14:dataBar minLength="0" maxLength="100" border="1" negativeBarBorderColorSameAsPositive="0">
              <x14:cfvo type="autoMin"/>
              <x14:cfvo type="num">
                <xm:f>31</xm:f>
              </x14:cfvo>
              <x14:borderColor theme="4"/>
              <x14:negativeFillColor rgb="FFFF0000"/>
              <x14:negativeBorderColor rgb="FFFF0000"/>
              <x14:axisColor rgb="FF000000"/>
            </x14:dataBar>
          </x14:cfRule>
          <xm:sqref>AO7:AO77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pageSetUpPr fitToPage="1"/>
  </sheetPr>
  <dimension ref="A1:AK40"/>
  <sheetViews>
    <sheetView showGridLines="0" zoomScale="90" zoomScaleNormal="90" workbookViewId="0">
      <selection activeCell="N26" sqref="N26"/>
    </sheetView>
  </sheetViews>
  <sheetFormatPr baseColWidth="10" defaultColWidth="9.140625" defaultRowHeight="13.5"/>
  <cols>
    <col min="1" max="1" width="3.42578125" style="18" customWidth="1"/>
    <col min="2" max="2" width="19" style="18" customWidth="1"/>
    <col min="3" max="3" width="3.5703125" style="18" customWidth="1"/>
    <col min="4" max="4" width="3.7109375" style="18" customWidth="1"/>
    <col min="5" max="5" width="4.28515625" style="18" customWidth="1"/>
    <col min="6" max="7" width="3.28515625" style="18" customWidth="1"/>
    <col min="8" max="8" width="3.42578125" style="18" customWidth="1"/>
    <col min="9" max="10" width="3.7109375" style="18" customWidth="1"/>
    <col min="11" max="11" width="3.42578125" style="18" customWidth="1"/>
    <col min="12" max="12" width="3.5703125" style="18" customWidth="1"/>
    <col min="13" max="13" width="3.42578125" style="18" customWidth="1"/>
    <col min="14" max="14" width="3.85546875" style="18" customWidth="1"/>
    <col min="15" max="16" width="4" style="18" customWidth="1"/>
    <col min="17" max="17" width="4.28515625" style="18" customWidth="1"/>
    <col min="18" max="18" width="4" style="18" customWidth="1"/>
    <col min="19" max="19" width="3.7109375" style="18" customWidth="1"/>
    <col min="20" max="20" width="4.42578125" style="18" customWidth="1"/>
    <col min="21" max="22" width="4.85546875" style="18" customWidth="1"/>
    <col min="23" max="23" width="3.7109375" style="18" customWidth="1"/>
    <col min="24" max="24" width="3.28515625" style="18" customWidth="1"/>
    <col min="25" max="25" width="4" style="18" customWidth="1"/>
    <col min="26" max="26" width="4.140625" style="18" customWidth="1"/>
    <col min="27" max="33" width="3.28515625" style="18" customWidth="1"/>
    <col min="34" max="37" width="6.140625" style="18" customWidth="1"/>
    <col min="38" max="16384" width="9.140625" style="18"/>
  </cols>
  <sheetData>
    <row r="1" spans="1:37" ht="33" customHeight="1">
      <c r="A1" s="71" t="str">
        <f>"Registre de présence pour "</f>
        <v xml:space="preserve">Registre de présence pour </v>
      </c>
      <c r="B1" s="52"/>
      <c r="C1" s="53"/>
      <c r="D1" s="53"/>
      <c r="E1" s="53"/>
      <c r="F1" s="53"/>
      <c r="G1" s="53"/>
      <c r="H1" s="53"/>
      <c r="I1" s="70" t="str">
        <f>D4</f>
        <v/>
      </c>
      <c r="J1" s="52"/>
      <c r="K1" s="52"/>
      <c r="L1" s="52"/>
      <c r="M1" s="53"/>
      <c r="N1" s="50"/>
      <c r="O1" s="50"/>
      <c r="P1" s="50"/>
      <c r="Q1" s="50"/>
      <c r="R1" s="50"/>
      <c r="S1" s="50"/>
      <c r="T1" s="50"/>
      <c r="U1" s="50"/>
      <c r="V1" s="50"/>
      <c r="W1" s="50"/>
      <c r="X1" s="50"/>
      <c r="Y1" s="50"/>
      <c r="Z1" s="50"/>
      <c r="AA1" s="50"/>
      <c r="AB1" s="50"/>
      <c r="AC1" s="50"/>
      <c r="AD1" s="50"/>
      <c r="AE1" s="50"/>
      <c r="AF1" s="50"/>
      <c r="AG1" s="50"/>
      <c r="AH1" s="50"/>
      <c r="AI1" s="50"/>
      <c r="AJ1" s="50"/>
      <c r="AK1" s="51"/>
    </row>
    <row r="2" spans="1:37" customFormat="1" ht="15" customHeight="1"/>
    <row r="3" spans="1:37" ht="17.25" customHeight="1">
      <c r="B3" s="88" t="s">
        <v>23</v>
      </c>
      <c r="C3" s="89"/>
      <c r="D3" s="203" t="s">
        <v>22</v>
      </c>
      <c r="E3" s="203"/>
      <c r="F3" s="203"/>
      <c r="G3" s="203"/>
      <c r="H3" s="203"/>
      <c r="I3" s="203"/>
      <c r="J3" s="203"/>
      <c r="K3" s="203"/>
      <c r="L3" s="203"/>
      <c r="M3" s="203"/>
      <c r="N3" s="203"/>
      <c r="O3" s="203"/>
      <c r="P3" s="208" t="s">
        <v>452</v>
      </c>
      <c r="Q3" s="208"/>
      <c r="R3" s="208"/>
      <c r="S3" s="208" t="s">
        <v>482</v>
      </c>
      <c r="T3" s="208"/>
      <c r="U3" s="208"/>
      <c r="V3" s="208"/>
      <c r="W3" s="208" t="s">
        <v>30</v>
      </c>
      <c r="X3" s="208"/>
      <c r="Y3" s="208"/>
      <c r="Z3" s="208"/>
      <c r="AA3" s="208"/>
      <c r="AB3" s="208"/>
      <c r="AC3" s="208"/>
      <c r="AD3" s="208"/>
      <c r="AE3" s="206" t="s">
        <v>31</v>
      </c>
      <c r="AF3" s="206"/>
      <c r="AG3" s="208" t="s">
        <v>32</v>
      </c>
      <c r="AH3" s="208"/>
      <c r="AI3" s="208"/>
      <c r="AJ3" s="208"/>
      <c r="AK3" s="97" t="s">
        <v>33</v>
      </c>
    </row>
    <row r="4" spans="1:37" ht="17.25" customHeight="1">
      <c r="B4" s="201" t="s">
        <v>156</v>
      </c>
      <c r="C4" s="201"/>
      <c r="D4" s="202" t="str">
        <f>IFERROR(VLOOKUP(RechercheÉtudiant,ListeÉtudiants[],18,FALSE),"")</f>
        <v/>
      </c>
      <c r="E4" s="202"/>
      <c r="F4" s="202"/>
      <c r="G4" s="202"/>
      <c r="H4" s="202"/>
      <c r="I4" s="202"/>
      <c r="J4" s="202"/>
      <c r="K4" s="202"/>
      <c r="L4" s="202"/>
      <c r="M4" s="202"/>
      <c r="N4" s="202"/>
      <c r="O4" s="202"/>
      <c r="P4" s="210" t="str">
        <f>IFERROR(VLOOKUP(RechercheÉtudiant,ListeÉtudiants[],4,FALSE),"")</f>
        <v>Barreto Cenfi</v>
      </c>
      <c r="Q4" s="210"/>
      <c r="R4" s="210"/>
      <c r="S4" s="211">
        <f>IFERROR(VLOOKUP(RechercheÉtudiant,ListeÉtudiants[],5,FALSE),"")</f>
        <v>38304</v>
      </c>
      <c r="T4" s="211"/>
      <c r="U4" s="211"/>
      <c r="V4" s="211"/>
      <c r="W4" s="201"/>
      <c r="X4" s="201"/>
      <c r="Y4" s="201"/>
      <c r="Z4" s="201"/>
      <c r="AA4" s="201"/>
      <c r="AB4" s="201"/>
      <c r="AC4" s="201"/>
      <c r="AD4" s="201"/>
      <c r="AE4" s="207"/>
      <c r="AF4" s="207"/>
      <c r="AG4" s="201"/>
      <c r="AH4" s="201"/>
      <c r="AI4" s="201"/>
      <c r="AJ4" s="201"/>
      <c r="AK4" s="90"/>
    </row>
    <row r="5" spans="1:37" ht="17.25" customHeight="1">
      <c r="B5" s="208" t="s">
        <v>469</v>
      </c>
      <c r="C5" s="208"/>
      <c r="D5" s="208"/>
      <c r="E5" s="208"/>
      <c r="F5" s="208"/>
      <c r="G5" s="208"/>
      <c r="H5" s="208"/>
      <c r="I5" s="208"/>
      <c r="J5" s="208"/>
      <c r="K5" s="208" t="s">
        <v>466</v>
      </c>
      <c r="L5" s="208"/>
      <c r="M5" s="208"/>
      <c r="N5" s="208"/>
      <c r="O5" s="208"/>
      <c r="P5" s="208"/>
      <c r="Q5" s="208"/>
      <c r="R5" s="208"/>
      <c r="S5" s="208"/>
      <c r="T5" s="208"/>
      <c r="U5" s="208"/>
      <c r="V5" s="208"/>
      <c r="W5" s="208" t="s">
        <v>467</v>
      </c>
      <c r="X5" s="208"/>
      <c r="Y5" s="208"/>
      <c r="Z5" s="208"/>
      <c r="AA5" s="208"/>
      <c r="AB5" s="208"/>
      <c r="AC5" s="208"/>
      <c r="AD5" s="208"/>
      <c r="AE5" s="208" t="s">
        <v>468</v>
      </c>
      <c r="AF5" s="208"/>
      <c r="AG5" s="208"/>
      <c r="AH5" s="208"/>
      <c r="AI5" s="208"/>
      <c r="AJ5" s="208"/>
      <c r="AK5" s="208"/>
    </row>
    <row r="6" spans="1:37" ht="17.25" customHeight="1">
      <c r="B6" s="202" t="str">
        <f>IFERROR(VLOOKUP(RechercheÉtudiant,ListeÉtudiants[],6,FALSE),"")</f>
        <v>cenfiandrea@gmail.com</v>
      </c>
      <c r="C6" s="202"/>
      <c r="D6" s="202"/>
      <c r="E6" s="202"/>
      <c r="F6" s="202"/>
      <c r="G6" s="202"/>
      <c r="H6" s="202"/>
      <c r="I6" s="202"/>
      <c r="J6" s="202"/>
      <c r="K6" s="202" t="str">
        <f>IFERROR(VLOOKUP(RechercheÉtudiant,ListeÉtudiants[],7,FALSE),"")</f>
        <v>William José Barreto</v>
      </c>
      <c r="L6" s="202"/>
      <c r="M6" s="202"/>
      <c r="N6" s="202"/>
      <c r="O6" s="202"/>
      <c r="P6" s="202"/>
      <c r="Q6" s="202"/>
      <c r="R6" s="202"/>
      <c r="S6" s="202"/>
      <c r="T6" s="202"/>
      <c r="U6" s="202"/>
      <c r="V6" s="202"/>
      <c r="W6" s="209" t="str">
        <f>IFERROR(VLOOKUP(RechercheÉtudiant,ListeÉtudiants[],8,FALSE),"")</f>
        <v>Lorymar Cenfi Ortiz</v>
      </c>
      <c r="X6" s="209"/>
      <c r="Y6" s="209"/>
      <c r="Z6" s="209"/>
      <c r="AA6" s="209"/>
      <c r="AB6" s="209"/>
      <c r="AC6" s="209"/>
      <c r="AD6" s="209"/>
      <c r="AE6" s="209" t="str">
        <f>IFERROR(VLOOKUP(RechercheÉtudiant,ListeÉtudiants[],9,FALSE),"")</f>
        <v>438 368-3261</v>
      </c>
      <c r="AF6" s="209"/>
      <c r="AG6" s="209"/>
      <c r="AH6" s="209"/>
      <c r="AI6" s="209"/>
      <c r="AJ6" s="209"/>
      <c r="AK6" s="209"/>
    </row>
    <row r="7" spans="1:37" ht="17.25" customHeight="1">
      <c r="B7" s="208" t="s">
        <v>460</v>
      </c>
      <c r="C7" s="208"/>
      <c r="D7" s="208"/>
      <c r="E7" s="208"/>
      <c r="F7" s="208"/>
      <c r="G7" s="208"/>
      <c r="H7" s="208"/>
      <c r="I7" s="208"/>
      <c r="J7" s="208"/>
      <c r="K7" s="208" t="s">
        <v>34</v>
      </c>
      <c r="L7" s="208"/>
      <c r="M7" s="208"/>
      <c r="N7" s="208"/>
      <c r="O7" s="208"/>
      <c r="P7" s="208"/>
      <c r="Q7" s="208"/>
      <c r="R7" s="208"/>
      <c r="S7" s="208"/>
      <c r="T7" s="208"/>
      <c r="U7" s="208"/>
      <c r="V7" s="208"/>
      <c r="W7" s="208" t="s">
        <v>35</v>
      </c>
      <c r="X7" s="208"/>
      <c r="Y7" s="208"/>
      <c r="Z7" s="208"/>
      <c r="AA7" s="208"/>
      <c r="AB7" s="208"/>
      <c r="AC7" s="208"/>
      <c r="AD7" s="208"/>
      <c r="AE7" s="208" t="s">
        <v>36</v>
      </c>
      <c r="AF7" s="208"/>
      <c r="AG7" s="208"/>
      <c r="AH7" s="208"/>
      <c r="AI7" s="208"/>
      <c r="AJ7" s="208"/>
      <c r="AK7" s="208"/>
    </row>
    <row r="8" spans="1:37" ht="33" customHeight="1">
      <c r="B8" s="202">
        <f>IFERROR(VLOOKUP(RechercheÉtudiant,ListeÉtudiants[],10,FALSE),"")</f>
        <v>0</v>
      </c>
      <c r="C8" s="202"/>
      <c r="D8" s="202"/>
      <c r="E8" s="202"/>
      <c r="F8" s="202"/>
      <c r="G8" s="202"/>
      <c r="H8" s="202"/>
      <c r="I8" s="202"/>
      <c r="J8" s="202"/>
      <c r="K8" s="202">
        <f>IFERROR(VLOOKUP(RechercheÉtudiant,ListeÉtudiants[],11,FALSE),"")</f>
        <v>0</v>
      </c>
      <c r="L8" s="202"/>
      <c r="M8" s="202"/>
      <c r="N8" s="202"/>
      <c r="O8" s="202"/>
      <c r="P8" s="202"/>
      <c r="Q8" s="202"/>
      <c r="R8" s="202"/>
      <c r="S8" s="202"/>
      <c r="T8" s="202"/>
      <c r="U8" s="202"/>
      <c r="V8" s="202"/>
      <c r="W8" s="209" t="str">
        <f>IFERROR(VLOOKUP(RechercheÉtudiant,ListeÉtudiants[],12,FALSE),"")</f>
        <v/>
      </c>
      <c r="X8" s="209"/>
      <c r="Y8" s="209"/>
      <c r="Z8" s="209"/>
      <c r="AA8" s="209"/>
      <c r="AB8" s="209"/>
      <c r="AC8" s="209"/>
      <c r="AD8" s="209"/>
      <c r="AE8" s="209" t="str">
        <f>IFERROR(VLOOKUP(RechercheÉtudiant,ListeÉtudiants[],13,FALSE),"")</f>
        <v/>
      </c>
      <c r="AF8" s="209"/>
      <c r="AG8" s="209"/>
      <c r="AH8" s="209"/>
      <c r="AI8" s="209"/>
      <c r="AJ8" s="209"/>
      <c r="AK8" s="209"/>
    </row>
    <row r="9" spans="1:37" ht="17.25" customHeight="1">
      <c r="B9" s="208" t="s">
        <v>37</v>
      </c>
      <c r="C9" s="208"/>
      <c r="D9" s="208"/>
      <c r="E9" s="208"/>
      <c r="F9" s="208"/>
      <c r="G9" s="208"/>
      <c r="H9" s="208"/>
      <c r="I9" s="208"/>
      <c r="J9" s="208"/>
      <c r="K9" s="208" t="s">
        <v>34</v>
      </c>
      <c r="L9" s="208"/>
      <c r="M9" s="208"/>
      <c r="N9" s="208"/>
      <c r="O9" s="208"/>
      <c r="P9" s="208"/>
      <c r="Q9" s="208"/>
      <c r="R9" s="208"/>
      <c r="S9" s="208"/>
      <c r="T9" s="208"/>
      <c r="U9" s="208"/>
      <c r="V9" s="208"/>
      <c r="W9" s="208" t="s">
        <v>35</v>
      </c>
      <c r="X9" s="208"/>
      <c r="Y9" s="208"/>
      <c r="Z9" s="208"/>
      <c r="AA9" s="208"/>
      <c r="AB9" s="208"/>
      <c r="AC9" s="208"/>
      <c r="AD9" s="208"/>
      <c r="AE9" s="208" t="s">
        <v>36</v>
      </c>
      <c r="AF9" s="208"/>
      <c r="AG9" s="208"/>
      <c r="AH9" s="208"/>
      <c r="AI9" s="208"/>
      <c r="AJ9" s="208"/>
      <c r="AK9" s="208"/>
    </row>
    <row r="10" spans="1:37" ht="17.25" customHeight="1">
      <c r="B10" s="202" t="str">
        <f>IFERROR(VLOOKUP(RechercheÉtudiant,ListeÉtudiants[],14,FALSE),"")</f>
        <v/>
      </c>
      <c r="C10" s="202"/>
      <c r="D10" s="202"/>
      <c r="E10" s="202"/>
      <c r="F10" s="202"/>
      <c r="G10" s="202"/>
      <c r="H10" s="202"/>
      <c r="I10" s="202"/>
      <c r="J10" s="202"/>
      <c r="K10" s="202" t="str">
        <f>IFERROR(VLOOKUP(RechercheÉtudiant,ListeÉtudiants[],15,FALSE),"")</f>
        <v/>
      </c>
      <c r="L10" s="202"/>
      <c r="M10" s="202"/>
      <c r="N10" s="202"/>
      <c r="O10" s="202"/>
      <c r="P10" s="202"/>
      <c r="Q10" s="202"/>
      <c r="R10" s="202"/>
      <c r="S10" s="202"/>
      <c r="T10" s="202"/>
      <c r="U10" s="202"/>
      <c r="V10" s="202"/>
      <c r="W10" s="209" t="str">
        <f>IFERROR(VLOOKUP(RechercheÉtudiant,ListeÉtudiants[],16,FALSE),"")</f>
        <v/>
      </c>
      <c r="X10" s="209"/>
      <c r="Y10" s="209"/>
      <c r="Z10" s="209"/>
      <c r="AA10" s="209"/>
      <c r="AB10" s="209"/>
      <c r="AC10" s="209"/>
      <c r="AD10" s="209"/>
      <c r="AE10" s="209" t="str">
        <f>IFERROR(VLOOKUP(RechercheÉtudiant,ListeÉtudiants[],17,FALSE),"")</f>
        <v/>
      </c>
      <c r="AF10" s="209"/>
      <c r="AG10" s="209"/>
      <c r="AH10" s="209"/>
      <c r="AI10" s="209"/>
      <c r="AJ10" s="209"/>
      <c r="AK10" s="209"/>
    </row>
    <row r="11" spans="1:37" ht="10.5" customHeight="1">
      <c r="B11" s="54"/>
      <c r="C11" s="54"/>
      <c r="D11" s="54"/>
      <c r="E11" s="54"/>
      <c r="F11" s="54"/>
      <c r="G11" s="54"/>
      <c r="H11" s="54"/>
      <c r="I11" s="54"/>
      <c r="J11" s="54"/>
      <c r="K11" s="54"/>
      <c r="L11" s="54"/>
      <c r="M11" s="54"/>
      <c r="N11" s="54"/>
      <c r="O11" s="54"/>
      <c r="P11" s="54"/>
      <c r="Q11" s="54"/>
      <c r="R11" s="54"/>
      <c r="S11" s="54"/>
      <c r="T11" s="54"/>
      <c r="U11" s="54"/>
      <c r="V11" s="54"/>
      <c r="W11" s="55"/>
      <c r="X11" s="55"/>
      <c r="Y11" s="55"/>
      <c r="Z11" s="55"/>
      <c r="AA11" s="55"/>
      <c r="AB11" s="55"/>
      <c r="AC11" s="55"/>
      <c r="AD11" s="55"/>
      <c r="AE11" s="55"/>
      <c r="AF11" s="55"/>
      <c r="AG11" s="55"/>
      <c r="AH11" s="55"/>
      <c r="AI11" s="55"/>
      <c r="AJ11" s="55"/>
      <c r="AK11" s="55"/>
    </row>
    <row r="12" spans="1:37" ht="15.75" customHeight="1">
      <c r="B12" s="60" t="str">
        <f>Août!C3</f>
        <v xml:space="preserve">CODE DE COULEURS </v>
      </c>
      <c r="C12" s="61" t="str">
        <f>Août!D3</f>
        <v>R</v>
      </c>
      <c r="D12" s="60" t="str">
        <f>Août!E3</f>
        <v>en retard</v>
      </c>
      <c r="E12" s="60"/>
      <c r="F12" s="60"/>
      <c r="G12" s="62" t="str">
        <f>Août!H3</f>
        <v>E</v>
      </c>
      <c r="H12" s="60" t="str">
        <f>Août!I3</f>
        <v>excusé</v>
      </c>
      <c r="I12" s="60"/>
      <c r="J12" s="60"/>
      <c r="K12" s="63" t="str">
        <f>Août!L3</f>
        <v>N1</v>
      </c>
      <c r="L12" s="60" t="str">
        <f>Août!M3</f>
        <v>non excusé</v>
      </c>
      <c r="M12" s="60"/>
      <c r="N12" s="60"/>
      <c r="O12" s="64"/>
      <c r="P12" s="65" t="str">
        <f>Août!P3</f>
        <v>P</v>
      </c>
      <c r="Q12" s="60" t="str">
        <f>Août!Q3</f>
        <v>présent</v>
      </c>
      <c r="R12" s="60"/>
      <c r="S12" s="60"/>
      <c r="T12" s="66" t="str">
        <f>Août!T3</f>
        <v>N</v>
      </c>
      <c r="U12" s="67" t="str">
        <f>Août!U3</f>
        <v>école fermée</v>
      </c>
      <c r="V12" s="68"/>
      <c r="W12" s="69"/>
      <c r="X12" s="55"/>
      <c r="Y12" s="55"/>
      <c r="Z12" s="55"/>
      <c r="AA12" s="55"/>
      <c r="AB12" s="55"/>
      <c r="AC12" s="55"/>
      <c r="AD12" s="55"/>
      <c r="AE12" s="55"/>
      <c r="AF12" s="55"/>
      <c r="AG12" s="55"/>
      <c r="AH12" s="55"/>
      <c r="AI12" s="55"/>
      <c r="AJ12" s="55"/>
      <c r="AK12" s="55"/>
    </row>
    <row r="13" spans="1:37" ht="6" customHeight="1"/>
    <row r="14" spans="1:37" ht="16.5" customHeight="1">
      <c r="B14" s="204" t="s">
        <v>58</v>
      </c>
      <c r="C14" s="204"/>
      <c r="D14" s="204"/>
      <c r="E14" s="204"/>
      <c r="F14" s="204"/>
      <c r="G14" s="204"/>
      <c r="H14" s="204"/>
      <c r="I14" s="204"/>
      <c r="J14" s="204"/>
      <c r="K14" s="204"/>
      <c r="L14" s="204"/>
      <c r="M14" s="204"/>
      <c r="N14" s="204"/>
      <c r="O14" s="204"/>
      <c r="P14" s="204"/>
      <c r="Q14" s="204"/>
      <c r="R14" s="204"/>
      <c r="S14" s="204"/>
      <c r="T14" s="204"/>
      <c r="U14" s="204"/>
      <c r="V14" s="204"/>
      <c r="W14" s="204"/>
      <c r="X14" s="204"/>
      <c r="Y14" s="204"/>
      <c r="Z14" s="204"/>
      <c r="AA14" s="204"/>
      <c r="AB14" s="204"/>
      <c r="AC14" s="204"/>
      <c r="AD14" s="204"/>
      <c r="AE14" s="204"/>
      <c r="AF14" s="204"/>
      <c r="AG14" s="204"/>
      <c r="AH14" s="200" t="s">
        <v>38</v>
      </c>
      <c r="AI14" s="200"/>
      <c r="AJ14" s="200"/>
      <c r="AK14" s="200"/>
    </row>
    <row r="15" spans="1:37" ht="14.25" thickBot="1">
      <c r="B15" s="205"/>
      <c r="C15" s="205"/>
      <c r="D15" s="205"/>
      <c r="E15" s="205"/>
      <c r="F15" s="205"/>
      <c r="G15" s="205"/>
      <c r="H15" s="205"/>
      <c r="I15" s="205"/>
      <c r="J15" s="205"/>
      <c r="K15" s="205"/>
      <c r="L15" s="205"/>
      <c r="M15" s="205"/>
      <c r="N15" s="205"/>
      <c r="O15" s="205"/>
      <c r="P15" s="205"/>
      <c r="Q15" s="205"/>
      <c r="R15" s="205"/>
      <c r="S15" s="205"/>
      <c r="T15" s="205"/>
      <c r="U15" s="205"/>
      <c r="V15" s="205"/>
      <c r="W15" s="205"/>
      <c r="X15" s="205"/>
      <c r="Y15" s="205"/>
      <c r="Z15" s="205"/>
      <c r="AA15" s="205"/>
      <c r="AB15" s="205"/>
      <c r="AC15" s="205"/>
      <c r="AD15" s="205"/>
      <c r="AE15" s="205"/>
      <c r="AF15" s="205"/>
      <c r="AG15" s="205"/>
      <c r="AH15" s="98" t="s">
        <v>25</v>
      </c>
      <c r="AI15" s="99" t="s">
        <v>26</v>
      </c>
      <c r="AJ15" s="100" t="s">
        <v>81</v>
      </c>
      <c r="AK15" s="101" t="s">
        <v>21</v>
      </c>
    </row>
    <row r="16" spans="1:37" ht="14.25">
      <c r="B16" s="199" t="s">
        <v>39</v>
      </c>
      <c r="C16" s="91">
        <v>1</v>
      </c>
      <c r="D16" s="91">
        <v>2</v>
      </c>
      <c r="E16" s="91">
        <v>3</v>
      </c>
      <c r="F16" s="91">
        <v>4</v>
      </c>
      <c r="G16" s="91">
        <v>5</v>
      </c>
      <c r="H16" s="91">
        <v>6</v>
      </c>
      <c r="I16" s="91">
        <v>7</v>
      </c>
      <c r="J16" s="91">
        <v>8</v>
      </c>
      <c r="K16" s="91">
        <v>9</v>
      </c>
      <c r="L16" s="91">
        <v>10</v>
      </c>
      <c r="M16" s="91">
        <v>11</v>
      </c>
      <c r="N16" s="91">
        <v>12</v>
      </c>
      <c r="O16" s="91">
        <v>13</v>
      </c>
      <c r="P16" s="91">
        <v>14</v>
      </c>
      <c r="Q16" s="91">
        <v>15</v>
      </c>
      <c r="R16" s="91">
        <v>16</v>
      </c>
      <c r="S16" s="91">
        <v>17</v>
      </c>
      <c r="T16" s="91">
        <v>18</v>
      </c>
      <c r="U16" s="91">
        <v>19</v>
      </c>
      <c r="V16" s="91">
        <v>20</v>
      </c>
      <c r="W16" s="91">
        <v>21</v>
      </c>
      <c r="X16" s="91">
        <v>22</v>
      </c>
      <c r="Y16" s="91">
        <v>23</v>
      </c>
      <c r="Z16" s="91">
        <v>24</v>
      </c>
      <c r="AA16" s="91">
        <v>25</v>
      </c>
      <c r="AB16" s="91">
        <v>26</v>
      </c>
      <c r="AC16" s="91">
        <v>27</v>
      </c>
      <c r="AD16" s="91">
        <v>28</v>
      </c>
      <c r="AE16" s="91">
        <v>29</v>
      </c>
      <c r="AF16" s="91">
        <v>30</v>
      </c>
      <c r="AG16" s="91">
        <v>31</v>
      </c>
      <c r="AH16" s="194">
        <f>COUNTIF($D17:$AH17,Code1)</f>
        <v>0</v>
      </c>
      <c r="AI16" s="194">
        <f>COUNTIF($D17:$AH17,Code2)</f>
        <v>0</v>
      </c>
      <c r="AJ16" s="194">
        <f>COUNTIF($D17:$AH17,Code3)</f>
        <v>0</v>
      </c>
      <c r="AK16" s="194">
        <f>COUNTIF($D17:$AH17,Code4)</f>
        <v>0</v>
      </c>
    </row>
    <row r="17" spans="2:37" ht="14.25">
      <c r="B17" s="196"/>
      <c r="C17" s="92" t="str">
        <f>IFERROR(VLOOKUP(RechercheÉtudiant,ParticipationAoût[],3,FALSE),"")</f>
        <v/>
      </c>
      <c r="D17" s="92" t="str">
        <f>IFERROR(VLOOKUP(RechercheÉtudiant,ParticipationAoût[],4,FALSE),"")</f>
        <v/>
      </c>
      <c r="E17" s="92" t="str">
        <f>IFERROR(VLOOKUP(RechercheÉtudiant,ParticipationAoût[],5,FALSE),"")</f>
        <v/>
      </c>
      <c r="F17" s="92" t="str">
        <f>IFERROR(VLOOKUP(RechercheÉtudiant,ParticipationAoût[],6,FALSE),"")</f>
        <v/>
      </c>
      <c r="G17" s="92" t="str">
        <f>IFERROR(VLOOKUP(RechercheÉtudiant,ParticipationAoût[],7,FALSE),"")</f>
        <v/>
      </c>
      <c r="H17" s="92" t="str">
        <f>IFERROR(VLOOKUP(RechercheÉtudiant,ParticipationAoût[],8,FALSE),"")</f>
        <v/>
      </c>
      <c r="I17" s="92" t="str">
        <f>IFERROR(VLOOKUP(RechercheÉtudiant,ParticipationAoût[],9,FALSE),"")</f>
        <v/>
      </c>
      <c r="J17" s="92" t="str">
        <f>IFERROR(VLOOKUP(RechercheÉtudiant,ParticipationAoût[],10,FALSE),"")</f>
        <v/>
      </c>
      <c r="K17" s="92" t="str">
        <f>IFERROR(VLOOKUP(RechercheÉtudiant,ParticipationAoût[],11,FALSE),"")</f>
        <v/>
      </c>
      <c r="L17" s="92" t="str">
        <f>IFERROR(VLOOKUP(RechercheÉtudiant,ParticipationAoût[],12,FALSE),"")</f>
        <v/>
      </c>
      <c r="M17" s="92" t="str">
        <f>IFERROR(VLOOKUP(RechercheÉtudiant,ParticipationAoût[],13,FALSE),"")</f>
        <v/>
      </c>
      <c r="N17" s="92" t="str">
        <f>IFERROR(VLOOKUP(RechercheÉtudiant,ParticipationAoût[],14,FALSE),"")</f>
        <v/>
      </c>
      <c r="O17" s="92" t="str">
        <f>IFERROR(VLOOKUP(RechercheÉtudiant,ParticipationAoût[],15,FALSE),"")</f>
        <v/>
      </c>
      <c r="P17" s="92" t="str">
        <f>IFERROR(VLOOKUP(RechercheÉtudiant,ParticipationAoût[],16,FALSE),"")</f>
        <v/>
      </c>
      <c r="Q17" s="92" t="str">
        <f>IFERROR(VLOOKUP(RechercheÉtudiant,ParticipationAoût[],17,FALSE),"")</f>
        <v/>
      </c>
      <c r="R17" s="92" t="str">
        <f>IFERROR(VLOOKUP(RechercheÉtudiant,ParticipationAoût[],18,FALSE),"")</f>
        <v/>
      </c>
      <c r="S17" s="92" t="str">
        <f>IFERROR(VLOOKUP(RechercheÉtudiant,ParticipationAoût[],19,FALSE),"")</f>
        <v/>
      </c>
      <c r="T17" s="92" t="str">
        <f>IFERROR(VLOOKUP(RechercheÉtudiant,ParticipationAoût[],20,FALSE),"")</f>
        <v/>
      </c>
      <c r="U17" s="92" t="str">
        <f>IFERROR(VLOOKUP(RechercheÉtudiant,ParticipationAoût[],21,FALSE),"")</f>
        <v/>
      </c>
      <c r="V17" s="92" t="str">
        <f>IFERROR(VLOOKUP(RechercheÉtudiant,ParticipationAoût[],22,FALSE),"")</f>
        <v/>
      </c>
      <c r="W17" s="92" t="str">
        <f>IFERROR(VLOOKUP(RechercheÉtudiant,ParticipationAoût[],23,FALSE),"")</f>
        <v/>
      </c>
      <c r="X17" s="92" t="str">
        <f>IFERROR(VLOOKUP(RechercheÉtudiant,ParticipationAoût[],24,FALSE),"")</f>
        <v/>
      </c>
      <c r="Y17" s="92" t="str">
        <f>IFERROR(VLOOKUP(RechercheÉtudiant,ParticipationAoût[],25,FALSE),"")</f>
        <v/>
      </c>
      <c r="Z17" s="92" t="str">
        <f>IFERROR(VLOOKUP(RechercheÉtudiant,ParticipationAoût[],26,FALSE),"")</f>
        <v/>
      </c>
      <c r="AA17" s="92" t="str">
        <f>IFERROR(VLOOKUP(RechercheÉtudiant,ParticipationAoût[],27,FALSE),"")</f>
        <v/>
      </c>
      <c r="AB17" s="92" t="str">
        <f>IFERROR(VLOOKUP(RechercheÉtudiant,ParticipationAoût[],28,FALSE),"")</f>
        <v/>
      </c>
      <c r="AC17" s="92" t="str">
        <f>IFERROR(VLOOKUP(RechercheÉtudiant,ParticipationAoût[],29,FALSE),"")</f>
        <v/>
      </c>
      <c r="AD17" s="92" t="str">
        <f>IFERROR(VLOOKUP(RechercheÉtudiant,ParticipationAoût[],30,FALSE),"")</f>
        <v/>
      </c>
      <c r="AE17" s="92" t="str">
        <f>IFERROR(VLOOKUP(RechercheÉtudiant,ParticipationAoût[],31,FALSE),"")</f>
        <v/>
      </c>
      <c r="AF17" s="92" t="str">
        <f>IFERROR(VLOOKUP(RechercheÉtudiant,ParticipationAoût[],32,FALSE),"")</f>
        <v/>
      </c>
      <c r="AG17" s="92" t="str">
        <f>IFERROR(VLOOKUP(RechercheÉtudiant,ParticipationAoût[],33,FALSE),"")</f>
        <v/>
      </c>
      <c r="AH17" s="197"/>
      <c r="AI17" s="197"/>
      <c r="AJ17" s="197"/>
      <c r="AK17" s="197"/>
    </row>
    <row r="18" spans="2:37" ht="14.25">
      <c r="B18" s="196" t="s">
        <v>40</v>
      </c>
      <c r="C18" s="93">
        <v>1</v>
      </c>
      <c r="D18" s="93">
        <v>2</v>
      </c>
      <c r="E18" s="93">
        <v>3</v>
      </c>
      <c r="F18" s="93">
        <v>4</v>
      </c>
      <c r="G18" s="93">
        <v>5</v>
      </c>
      <c r="H18" s="93">
        <v>6</v>
      </c>
      <c r="I18" s="93">
        <v>7</v>
      </c>
      <c r="J18" s="93">
        <v>8</v>
      </c>
      <c r="K18" s="93">
        <v>9</v>
      </c>
      <c r="L18" s="93">
        <v>10</v>
      </c>
      <c r="M18" s="93">
        <v>11</v>
      </c>
      <c r="N18" s="93">
        <v>12</v>
      </c>
      <c r="O18" s="93">
        <v>13</v>
      </c>
      <c r="P18" s="93">
        <v>14</v>
      </c>
      <c r="Q18" s="93">
        <v>15</v>
      </c>
      <c r="R18" s="93">
        <v>16</v>
      </c>
      <c r="S18" s="93">
        <v>17</v>
      </c>
      <c r="T18" s="93">
        <v>18</v>
      </c>
      <c r="U18" s="93">
        <v>19</v>
      </c>
      <c r="V18" s="93">
        <v>20</v>
      </c>
      <c r="W18" s="93">
        <v>21</v>
      </c>
      <c r="X18" s="93">
        <v>22</v>
      </c>
      <c r="Y18" s="93">
        <v>23</v>
      </c>
      <c r="Z18" s="93">
        <v>24</v>
      </c>
      <c r="AA18" s="93">
        <v>25</v>
      </c>
      <c r="AB18" s="93">
        <v>26</v>
      </c>
      <c r="AC18" s="93">
        <v>27</v>
      </c>
      <c r="AD18" s="93">
        <v>28</v>
      </c>
      <c r="AE18" s="93">
        <v>29</v>
      </c>
      <c r="AF18" s="93">
        <v>30</v>
      </c>
      <c r="AG18" s="93"/>
      <c r="AH18" s="197">
        <f>COUNTIF($D19:$AH19,Code1)</f>
        <v>0</v>
      </c>
      <c r="AI18" s="197">
        <f>COUNTIF($D19:$AH19,Code2)</f>
        <v>0</v>
      </c>
      <c r="AJ18" s="197">
        <f>COUNTIF($D19:$AH19,Code3)</f>
        <v>0</v>
      </c>
      <c r="AK18" s="197">
        <f>COUNTIF($D19:$AH19,Code4)</f>
        <v>0</v>
      </c>
    </row>
    <row r="19" spans="2:37" ht="14.25">
      <c r="B19" s="196"/>
      <c r="C19" s="92" t="str">
        <f>IFERROR(VLOOKUP(RechercheÉtudiant,#REF!,3,FALSE),"")</f>
        <v/>
      </c>
      <c r="D19" s="92" t="str">
        <f>IFERROR(VLOOKUP(RechercheÉtudiant,#REF!,4,FALSE),"")</f>
        <v/>
      </c>
      <c r="E19" s="92" t="str">
        <f>IFERROR(VLOOKUP(RechercheÉtudiant,#REF!,5,FALSE),"")</f>
        <v/>
      </c>
      <c r="F19" s="92" t="str">
        <f>IFERROR(VLOOKUP(RechercheÉtudiant,#REF!,6,FALSE),"")</f>
        <v/>
      </c>
      <c r="G19" s="92" t="str">
        <f>IFERROR(VLOOKUP(RechercheÉtudiant,#REF!,7,FALSE),"")</f>
        <v/>
      </c>
      <c r="H19" s="92" t="str">
        <f>IFERROR(VLOOKUP(RechercheÉtudiant,#REF!,8,FALSE),"")</f>
        <v/>
      </c>
      <c r="I19" s="92" t="str">
        <f>IFERROR(VLOOKUP(RechercheÉtudiant,#REF!,9,FALSE),"")</f>
        <v/>
      </c>
      <c r="J19" s="92" t="str">
        <f>IFERROR(VLOOKUP(RechercheÉtudiant,#REF!,10,FALSE),"")</f>
        <v/>
      </c>
      <c r="K19" s="92" t="str">
        <f>IFERROR(VLOOKUP(RechercheÉtudiant,#REF!,11,FALSE),"")</f>
        <v/>
      </c>
      <c r="L19" s="92" t="str">
        <f>IFERROR(VLOOKUP(RechercheÉtudiant,#REF!,12,FALSE),"")</f>
        <v/>
      </c>
      <c r="M19" s="92" t="str">
        <f>IFERROR(VLOOKUP(RechercheÉtudiant,#REF!,13,FALSE),"")</f>
        <v/>
      </c>
      <c r="N19" s="92" t="str">
        <f>IFERROR(VLOOKUP(RechercheÉtudiant,#REF!,14,FALSE),"")</f>
        <v/>
      </c>
      <c r="O19" s="92" t="str">
        <f>IFERROR(VLOOKUP(RechercheÉtudiant,#REF!,15,FALSE),"")</f>
        <v/>
      </c>
      <c r="P19" s="92" t="str">
        <f>IFERROR(VLOOKUP(RechercheÉtudiant,#REF!,16,FALSE),"")</f>
        <v/>
      </c>
      <c r="Q19" s="92" t="str">
        <f>IFERROR(VLOOKUP(RechercheÉtudiant,#REF!,17,FALSE),"")</f>
        <v/>
      </c>
      <c r="R19" s="92" t="str">
        <f>IFERROR(VLOOKUP(RechercheÉtudiant,#REF!,18,FALSE),"")</f>
        <v/>
      </c>
      <c r="S19" s="92" t="str">
        <f>IFERROR(VLOOKUP(RechercheÉtudiant,#REF!,19,FALSE),"")</f>
        <v/>
      </c>
      <c r="T19" s="92" t="str">
        <f>IFERROR(VLOOKUP(RechercheÉtudiant,#REF!,20,FALSE),"")</f>
        <v/>
      </c>
      <c r="U19" s="92" t="str">
        <f>IFERROR(VLOOKUP(RechercheÉtudiant,#REF!,21,FALSE),"")</f>
        <v/>
      </c>
      <c r="V19" s="92" t="str">
        <f>IFERROR(VLOOKUP(RechercheÉtudiant,#REF!,22,FALSE),"")</f>
        <v/>
      </c>
      <c r="W19" s="92" t="str">
        <f>IFERROR(VLOOKUP(RechercheÉtudiant,#REF!,23,FALSE),"")</f>
        <v/>
      </c>
      <c r="X19" s="92" t="str">
        <f>IFERROR(VLOOKUP(RechercheÉtudiant,#REF!,24,FALSE),"")</f>
        <v/>
      </c>
      <c r="Y19" s="92" t="str">
        <f>IFERROR(VLOOKUP(RechercheÉtudiant,#REF!,25,FALSE),"")</f>
        <v/>
      </c>
      <c r="Z19" s="92" t="str">
        <f>IFERROR(VLOOKUP(RechercheÉtudiant,#REF!,26,FALSE),"")</f>
        <v/>
      </c>
      <c r="AA19" s="92" t="str">
        <f>IFERROR(VLOOKUP(RechercheÉtudiant,#REF!,27,FALSE),"")</f>
        <v/>
      </c>
      <c r="AB19" s="92" t="str">
        <f>IFERROR(VLOOKUP(RechercheÉtudiant,#REF!,28,FALSE),"")</f>
        <v/>
      </c>
      <c r="AC19" s="92" t="str">
        <f>IFERROR(VLOOKUP(RechercheÉtudiant,#REF!,29,FALSE),"")</f>
        <v/>
      </c>
      <c r="AD19" s="92" t="str">
        <f>IFERROR(VLOOKUP(RechercheÉtudiant,#REF!,30,FALSE),"")</f>
        <v/>
      </c>
      <c r="AE19" s="92" t="str">
        <f>IFERROR(VLOOKUP(RechercheÉtudiant,#REF!,31,FALSE),"")</f>
        <v/>
      </c>
      <c r="AF19" s="92" t="str">
        <f>IFERROR(VLOOKUP(RechercheÉtudiant,#REF!,32,FALSE),"")</f>
        <v/>
      </c>
      <c r="AG19" s="92"/>
      <c r="AH19" s="197"/>
      <c r="AI19" s="197"/>
      <c r="AJ19" s="197"/>
      <c r="AK19" s="197"/>
    </row>
    <row r="20" spans="2:37" ht="14.25">
      <c r="B20" s="196" t="s">
        <v>41</v>
      </c>
      <c r="C20" s="93">
        <v>1</v>
      </c>
      <c r="D20" s="93">
        <v>2</v>
      </c>
      <c r="E20" s="93">
        <v>3</v>
      </c>
      <c r="F20" s="93">
        <v>4</v>
      </c>
      <c r="G20" s="93">
        <v>5</v>
      </c>
      <c r="H20" s="93">
        <v>6</v>
      </c>
      <c r="I20" s="93">
        <v>7</v>
      </c>
      <c r="J20" s="93">
        <v>8</v>
      </c>
      <c r="K20" s="93">
        <v>9</v>
      </c>
      <c r="L20" s="93">
        <v>10</v>
      </c>
      <c r="M20" s="93">
        <v>11</v>
      </c>
      <c r="N20" s="93">
        <v>12</v>
      </c>
      <c r="O20" s="93">
        <v>13</v>
      </c>
      <c r="P20" s="93">
        <v>14</v>
      </c>
      <c r="Q20" s="93">
        <v>15</v>
      </c>
      <c r="R20" s="93">
        <v>16</v>
      </c>
      <c r="S20" s="93">
        <v>17</v>
      </c>
      <c r="T20" s="93">
        <v>18</v>
      </c>
      <c r="U20" s="93">
        <v>19</v>
      </c>
      <c r="V20" s="93">
        <v>20</v>
      </c>
      <c r="W20" s="93">
        <v>21</v>
      </c>
      <c r="X20" s="93">
        <v>22</v>
      </c>
      <c r="Y20" s="93">
        <v>23</v>
      </c>
      <c r="Z20" s="93">
        <v>24</v>
      </c>
      <c r="AA20" s="93">
        <v>25</v>
      </c>
      <c r="AB20" s="93">
        <v>26</v>
      </c>
      <c r="AC20" s="93">
        <v>27</v>
      </c>
      <c r="AD20" s="93">
        <v>28</v>
      </c>
      <c r="AE20" s="93">
        <v>29</v>
      </c>
      <c r="AF20" s="93">
        <v>30</v>
      </c>
      <c r="AG20" s="93">
        <v>31</v>
      </c>
      <c r="AH20" s="197">
        <f>COUNTIF($D21:$AH21,Code1)</f>
        <v>0</v>
      </c>
      <c r="AI20" s="197">
        <f>COUNTIF($D21:$AH21,Code2)</f>
        <v>0</v>
      </c>
      <c r="AJ20" s="197">
        <f>COUNTIF($D21:$AH21,Code3)</f>
        <v>0</v>
      </c>
      <c r="AK20" s="197">
        <f>COUNTIF($D21:$AH21,Code4)</f>
        <v>0</v>
      </c>
    </row>
    <row r="21" spans="2:37" ht="14.25">
      <c r="B21" s="196"/>
      <c r="C21" s="92" t="str">
        <f>IFERROR(VLOOKUP(RechercheÉtudiant,#REF!,3,FALSE),"")</f>
        <v/>
      </c>
      <c r="D21" s="92" t="str">
        <f>IFERROR(VLOOKUP(RechercheÉtudiant,#REF!,4,FALSE),"")</f>
        <v/>
      </c>
      <c r="E21" s="92" t="str">
        <f>IFERROR(VLOOKUP(RechercheÉtudiant,#REF!,5,FALSE),"")</f>
        <v/>
      </c>
      <c r="F21" s="92" t="str">
        <f>IFERROR(VLOOKUP(RechercheÉtudiant,#REF!,6,FALSE),"")</f>
        <v/>
      </c>
      <c r="G21" s="92" t="str">
        <f>IFERROR(VLOOKUP(RechercheÉtudiant,#REF!,7,FALSE),"")</f>
        <v/>
      </c>
      <c r="H21" s="92" t="str">
        <f>IFERROR(VLOOKUP(RechercheÉtudiant,#REF!,8,FALSE),"")</f>
        <v/>
      </c>
      <c r="I21" s="92" t="str">
        <f>IFERROR(VLOOKUP(RechercheÉtudiant,#REF!,9,FALSE),"")</f>
        <v/>
      </c>
      <c r="J21" s="92" t="str">
        <f>IFERROR(VLOOKUP(RechercheÉtudiant,#REF!,10,FALSE),"")</f>
        <v/>
      </c>
      <c r="K21" s="92" t="str">
        <f>IFERROR(VLOOKUP(RechercheÉtudiant,#REF!,11,FALSE),"")</f>
        <v/>
      </c>
      <c r="L21" s="92" t="str">
        <f>IFERROR(VLOOKUP(RechercheÉtudiant,#REF!,12,FALSE),"")</f>
        <v/>
      </c>
      <c r="M21" s="92" t="str">
        <f>IFERROR(VLOOKUP(RechercheÉtudiant,#REF!,13,FALSE),"")</f>
        <v/>
      </c>
      <c r="N21" s="92" t="str">
        <f>IFERROR(VLOOKUP(RechercheÉtudiant,#REF!,14,FALSE),"")</f>
        <v/>
      </c>
      <c r="O21" s="92" t="str">
        <f>IFERROR(VLOOKUP(RechercheÉtudiant,#REF!,15,FALSE),"")</f>
        <v/>
      </c>
      <c r="P21" s="92" t="str">
        <f>IFERROR(VLOOKUP(RechercheÉtudiant,#REF!,16,FALSE),"")</f>
        <v/>
      </c>
      <c r="Q21" s="92" t="str">
        <f>IFERROR(VLOOKUP(RechercheÉtudiant,#REF!,17,FALSE),"")</f>
        <v/>
      </c>
      <c r="R21" s="92" t="str">
        <f>IFERROR(VLOOKUP(RechercheÉtudiant,#REF!,18,FALSE),"")</f>
        <v/>
      </c>
      <c r="S21" s="92" t="str">
        <f>IFERROR(VLOOKUP(RechercheÉtudiant,#REF!,19,FALSE),"")</f>
        <v/>
      </c>
      <c r="T21" s="92" t="str">
        <f>IFERROR(VLOOKUP(RechercheÉtudiant,#REF!,20,FALSE),"")</f>
        <v/>
      </c>
      <c r="U21" s="92" t="str">
        <f>IFERROR(VLOOKUP(RechercheÉtudiant,#REF!,21,FALSE),"")</f>
        <v/>
      </c>
      <c r="V21" s="92" t="str">
        <f>IFERROR(VLOOKUP(RechercheÉtudiant,#REF!,22,FALSE),"")</f>
        <v/>
      </c>
      <c r="W21" s="92" t="str">
        <f>IFERROR(VLOOKUP(RechercheÉtudiant,#REF!,23,FALSE),"")</f>
        <v/>
      </c>
      <c r="X21" s="92" t="str">
        <f>IFERROR(VLOOKUP(RechercheÉtudiant,#REF!,24,FALSE),"")</f>
        <v/>
      </c>
      <c r="Y21" s="92" t="str">
        <f>IFERROR(VLOOKUP(RechercheÉtudiant,#REF!,25,FALSE),"")</f>
        <v/>
      </c>
      <c r="Z21" s="92" t="str">
        <f>IFERROR(VLOOKUP(RechercheÉtudiant,#REF!,26,FALSE),"")</f>
        <v/>
      </c>
      <c r="AA21" s="92" t="str">
        <f>IFERROR(VLOOKUP(RechercheÉtudiant,#REF!,27,FALSE),"")</f>
        <v/>
      </c>
      <c r="AB21" s="92" t="str">
        <f>IFERROR(VLOOKUP(RechercheÉtudiant,#REF!,28,FALSE),"")</f>
        <v/>
      </c>
      <c r="AC21" s="92" t="str">
        <f>IFERROR(VLOOKUP(RechercheÉtudiant,#REF!,29,FALSE),"")</f>
        <v/>
      </c>
      <c r="AD21" s="92" t="str">
        <f>IFERROR(VLOOKUP(RechercheÉtudiant,#REF!,30,FALSE),"")</f>
        <v/>
      </c>
      <c r="AE21" s="92" t="str">
        <f>IFERROR(VLOOKUP(RechercheÉtudiant,#REF!,31,FALSE),"")</f>
        <v/>
      </c>
      <c r="AF21" s="92" t="str">
        <f>IFERROR(VLOOKUP(RechercheÉtudiant,#REF!,32,FALSE),"")</f>
        <v/>
      </c>
      <c r="AG21" s="92" t="str">
        <f>IFERROR(VLOOKUP(RechercheÉtudiant,#REF!,33,FALSE),"")</f>
        <v/>
      </c>
      <c r="AH21" s="197"/>
      <c r="AI21" s="197"/>
      <c r="AJ21" s="197"/>
      <c r="AK21" s="197"/>
    </row>
    <row r="22" spans="2:37" ht="14.25">
      <c r="B22" s="196" t="s">
        <v>42</v>
      </c>
      <c r="C22" s="93">
        <v>1</v>
      </c>
      <c r="D22" s="93">
        <v>2</v>
      </c>
      <c r="E22" s="93">
        <v>3</v>
      </c>
      <c r="F22" s="93">
        <v>4</v>
      </c>
      <c r="G22" s="93">
        <v>5</v>
      </c>
      <c r="H22" s="93">
        <v>6</v>
      </c>
      <c r="I22" s="93">
        <v>7</v>
      </c>
      <c r="J22" s="93">
        <v>8</v>
      </c>
      <c r="K22" s="93">
        <v>9</v>
      </c>
      <c r="L22" s="93">
        <v>10</v>
      </c>
      <c r="M22" s="93">
        <v>11</v>
      </c>
      <c r="N22" s="93">
        <v>12</v>
      </c>
      <c r="O22" s="93">
        <v>13</v>
      </c>
      <c r="P22" s="93">
        <v>14</v>
      </c>
      <c r="Q22" s="93">
        <v>15</v>
      </c>
      <c r="R22" s="93">
        <v>16</v>
      </c>
      <c r="S22" s="93">
        <v>17</v>
      </c>
      <c r="T22" s="93">
        <v>18</v>
      </c>
      <c r="U22" s="93">
        <v>19</v>
      </c>
      <c r="V22" s="93">
        <v>20</v>
      </c>
      <c r="W22" s="93">
        <v>21</v>
      </c>
      <c r="X22" s="93">
        <v>22</v>
      </c>
      <c r="Y22" s="93">
        <v>23</v>
      </c>
      <c r="Z22" s="93">
        <v>24</v>
      </c>
      <c r="AA22" s="93">
        <v>25</v>
      </c>
      <c r="AB22" s="93">
        <v>26</v>
      </c>
      <c r="AC22" s="93">
        <v>27</v>
      </c>
      <c r="AD22" s="93">
        <v>28</v>
      </c>
      <c r="AE22" s="93">
        <v>29</v>
      </c>
      <c r="AF22" s="93">
        <v>30</v>
      </c>
      <c r="AG22" s="93"/>
      <c r="AH22" s="197">
        <f>COUNTIF($D23:$AH23,Code1)</f>
        <v>0</v>
      </c>
      <c r="AI22" s="197">
        <f>COUNTIF($D23:$AH23,Code2)</f>
        <v>0</v>
      </c>
      <c r="AJ22" s="197">
        <f>COUNTIF($D23:$AH23,Code3)</f>
        <v>0</v>
      </c>
      <c r="AK22" s="197">
        <f>COUNTIF($D23:$AH23,Code4)</f>
        <v>0</v>
      </c>
    </row>
    <row r="23" spans="2:37" ht="14.25">
      <c r="B23" s="196"/>
      <c r="C23" s="92" t="str">
        <f>IFERROR(VLOOKUP(RechercheÉtudiant,#REF!,3,FALSE),"")</f>
        <v/>
      </c>
      <c r="D23" s="92" t="str">
        <f>IFERROR(VLOOKUP(RechercheÉtudiant,#REF!,4,FALSE),"")</f>
        <v/>
      </c>
      <c r="E23" s="92" t="str">
        <f>IFERROR(VLOOKUP(RechercheÉtudiant,#REF!,5,FALSE),"")</f>
        <v/>
      </c>
      <c r="F23" s="92" t="str">
        <f>IFERROR(VLOOKUP(RechercheÉtudiant,#REF!,6,FALSE),"")</f>
        <v/>
      </c>
      <c r="G23" s="92" t="str">
        <f>IFERROR(VLOOKUP(RechercheÉtudiant,#REF!,7,FALSE),"")</f>
        <v/>
      </c>
      <c r="H23" s="92" t="str">
        <f>IFERROR(VLOOKUP(RechercheÉtudiant,#REF!,8,FALSE),"")</f>
        <v/>
      </c>
      <c r="I23" s="92" t="str">
        <f>IFERROR(VLOOKUP(RechercheÉtudiant,#REF!,9,FALSE),"")</f>
        <v/>
      </c>
      <c r="J23" s="92" t="str">
        <f>IFERROR(VLOOKUP(RechercheÉtudiant,#REF!,10,FALSE),"")</f>
        <v/>
      </c>
      <c r="K23" s="92" t="str">
        <f>IFERROR(VLOOKUP(RechercheÉtudiant,#REF!,11,FALSE),"")</f>
        <v/>
      </c>
      <c r="L23" s="92" t="str">
        <f>IFERROR(VLOOKUP(RechercheÉtudiant,#REF!,12,FALSE),"")</f>
        <v/>
      </c>
      <c r="M23" s="92" t="str">
        <f>IFERROR(VLOOKUP(RechercheÉtudiant,#REF!,13,FALSE),"")</f>
        <v/>
      </c>
      <c r="N23" s="92" t="str">
        <f>IFERROR(VLOOKUP(RechercheÉtudiant,#REF!,14,FALSE),"")</f>
        <v/>
      </c>
      <c r="O23" s="92" t="str">
        <f>IFERROR(VLOOKUP(RechercheÉtudiant,#REF!,15,FALSE),"")</f>
        <v/>
      </c>
      <c r="P23" s="92" t="str">
        <f>IFERROR(VLOOKUP(RechercheÉtudiant,#REF!,16,FALSE),"")</f>
        <v/>
      </c>
      <c r="Q23" s="92" t="str">
        <f>IFERROR(VLOOKUP(RechercheÉtudiant,#REF!,17,FALSE),"")</f>
        <v/>
      </c>
      <c r="R23" s="92" t="str">
        <f>IFERROR(VLOOKUP(RechercheÉtudiant,#REF!,18,FALSE),"")</f>
        <v/>
      </c>
      <c r="S23" s="92" t="str">
        <f>IFERROR(VLOOKUP(RechercheÉtudiant,#REF!,19,FALSE),"")</f>
        <v/>
      </c>
      <c r="T23" s="92" t="str">
        <f>IFERROR(VLOOKUP(RechercheÉtudiant,#REF!,20,FALSE),"")</f>
        <v/>
      </c>
      <c r="U23" s="92" t="str">
        <f>IFERROR(VLOOKUP(RechercheÉtudiant,#REF!,21,FALSE),"")</f>
        <v/>
      </c>
      <c r="V23" s="92" t="str">
        <f>IFERROR(VLOOKUP(RechercheÉtudiant,#REF!,22,FALSE),"")</f>
        <v/>
      </c>
      <c r="W23" s="92" t="str">
        <f>IFERROR(VLOOKUP(RechercheÉtudiant,#REF!,23,FALSE),"")</f>
        <v/>
      </c>
      <c r="X23" s="92" t="str">
        <f>IFERROR(VLOOKUP(RechercheÉtudiant,#REF!,24,FALSE),"")</f>
        <v/>
      </c>
      <c r="Y23" s="92" t="str">
        <f>IFERROR(VLOOKUP(RechercheÉtudiant,#REF!,25,FALSE),"")</f>
        <v/>
      </c>
      <c r="Z23" s="92" t="str">
        <f>IFERROR(VLOOKUP(RechercheÉtudiant,#REF!,26,FALSE),"")</f>
        <v/>
      </c>
      <c r="AA23" s="92" t="str">
        <f>IFERROR(VLOOKUP(RechercheÉtudiant,#REF!,27,FALSE),"")</f>
        <v/>
      </c>
      <c r="AB23" s="92" t="str">
        <f>IFERROR(VLOOKUP(RechercheÉtudiant,#REF!,28,FALSE),"")</f>
        <v/>
      </c>
      <c r="AC23" s="92" t="str">
        <f>IFERROR(VLOOKUP(RechercheÉtudiant,#REF!,29,FALSE),"")</f>
        <v/>
      </c>
      <c r="AD23" s="92" t="str">
        <f>IFERROR(VLOOKUP(RechercheÉtudiant,#REF!,30,FALSE),"")</f>
        <v/>
      </c>
      <c r="AE23" s="92" t="str">
        <f>IFERROR(VLOOKUP(RechercheÉtudiant,#REF!,31,FALSE),"")</f>
        <v/>
      </c>
      <c r="AF23" s="92" t="str">
        <f>IFERROR(VLOOKUP(RechercheÉtudiant,#REF!,32,FALSE),"")</f>
        <v/>
      </c>
      <c r="AG23" s="92"/>
      <c r="AH23" s="197"/>
      <c r="AI23" s="197"/>
      <c r="AJ23" s="197"/>
      <c r="AK23" s="197"/>
    </row>
    <row r="24" spans="2:37" ht="14.25">
      <c r="B24" s="196" t="s">
        <v>43</v>
      </c>
      <c r="C24" s="93">
        <v>1</v>
      </c>
      <c r="D24" s="93">
        <v>2</v>
      </c>
      <c r="E24" s="93">
        <v>3</v>
      </c>
      <c r="F24" s="93">
        <v>4</v>
      </c>
      <c r="G24" s="93">
        <v>5</v>
      </c>
      <c r="H24" s="93">
        <v>6</v>
      </c>
      <c r="I24" s="93">
        <v>7</v>
      </c>
      <c r="J24" s="93">
        <v>8</v>
      </c>
      <c r="K24" s="93">
        <v>9</v>
      </c>
      <c r="L24" s="93">
        <v>10</v>
      </c>
      <c r="M24" s="93">
        <v>11</v>
      </c>
      <c r="N24" s="93">
        <v>12</v>
      </c>
      <c r="O24" s="93">
        <v>13</v>
      </c>
      <c r="P24" s="93">
        <v>14</v>
      </c>
      <c r="Q24" s="93">
        <v>15</v>
      </c>
      <c r="R24" s="93">
        <v>16</v>
      </c>
      <c r="S24" s="93">
        <v>17</v>
      </c>
      <c r="T24" s="93">
        <v>18</v>
      </c>
      <c r="U24" s="93">
        <v>19</v>
      </c>
      <c r="V24" s="93">
        <v>20</v>
      </c>
      <c r="W24" s="93">
        <v>21</v>
      </c>
      <c r="X24" s="93">
        <v>22</v>
      </c>
      <c r="Y24" s="93">
        <v>23</v>
      </c>
      <c r="Z24" s="93">
        <v>24</v>
      </c>
      <c r="AA24" s="93">
        <v>25</v>
      </c>
      <c r="AB24" s="93">
        <v>26</v>
      </c>
      <c r="AC24" s="93">
        <v>27</v>
      </c>
      <c r="AD24" s="93">
        <v>28</v>
      </c>
      <c r="AE24" s="93">
        <v>29</v>
      </c>
      <c r="AF24" s="93">
        <v>30</v>
      </c>
      <c r="AG24" s="93">
        <v>31</v>
      </c>
      <c r="AH24" s="197">
        <f>COUNTIF($D25:$AH25,Code1)</f>
        <v>0</v>
      </c>
      <c r="AI24" s="197">
        <f>COUNTIF($D25:$AH25,Code2)</f>
        <v>0</v>
      </c>
      <c r="AJ24" s="197">
        <f>COUNTIF($D25:$AH25,Code3)</f>
        <v>0</v>
      </c>
      <c r="AK24" s="197">
        <f>COUNTIF($D25:$AH25,Code4)</f>
        <v>0</v>
      </c>
    </row>
    <row r="25" spans="2:37" ht="14.25">
      <c r="B25" s="196"/>
      <c r="C25" s="92" t="str">
        <f>IFERROR(VLOOKUP(RechercheÉtudiant,#REF!,3,FALSE),"")</f>
        <v/>
      </c>
      <c r="D25" s="92" t="str">
        <f>IFERROR(VLOOKUP(RechercheÉtudiant,#REF!,4,FALSE),"")</f>
        <v/>
      </c>
      <c r="E25" s="92" t="str">
        <f>IFERROR(VLOOKUP(RechercheÉtudiant,#REF!,5,FALSE),"")</f>
        <v/>
      </c>
      <c r="F25" s="92" t="str">
        <f>IFERROR(VLOOKUP(RechercheÉtudiant,#REF!,6,FALSE),"")</f>
        <v/>
      </c>
      <c r="G25" s="92" t="str">
        <f>IFERROR(VLOOKUP(RechercheÉtudiant,#REF!,7,FALSE),"")</f>
        <v/>
      </c>
      <c r="H25" s="92" t="str">
        <f>IFERROR(VLOOKUP(RechercheÉtudiant,#REF!,8,FALSE),"")</f>
        <v/>
      </c>
      <c r="I25" s="92" t="str">
        <f>IFERROR(VLOOKUP(RechercheÉtudiant,#REF!,9,FALSE),"")</f>
        <v/>
      </c>
      <c r="J25" s="92" t="str">
        <f>IFERROR(VLOOKUP(RechercheÉtudiant,#REF!,10,FALSE),"")</f>
        <v/>
      </c>
      <c r="K25" s="92" t="str">
        <f>IFERROR(VLOOKUP(RechercheÉtudiant,#REF!,11,FALSE),"")</f>
        <v/>
      </c>
      <c r="L25" s="92" t="str">
        <f>IFERROR(VLOOKUP(RechercheÉtudiant,#REF!,12,FALSE),"")</f>
        <v/>
      </c>
      <c r="M25" s="92" t="str">
        <f>IFERROR(VLOOKUP(RechercheÉtudiant,#REF!,13,FALSE),"")</f>
        <v/>
      </c>
      <c r="N25" s="92" t="str">
        <f>IFERROR(VLOOKUP(RechercheÉtudiant,#REF!,14,FALSE),"")</f>
        <v/>
      </c>
      <c r="O25" s="92" t="str">
        <f>IFERROR(VLOOKUP(RechercheÉtudiant,#REF!,15,FALSE),"")</f>
        <v/>
      </c>
      <c r="P25" s="92" t="str">
        <f>IFERROR(VLOOKUP(RechercheÉtudiant,#REF!,16,FALSE),"")</f>
        <v/>
      </c>
      <c r="Q25" s="92" t="str">
        <f>IFERROR(VLOOKUP(RechercheÉtudiant,#REF!,17,FALSE),"")</f>
        <v/>
      </c>
      <c r="R25" s="92" t="str">
        <f>IFERROR(VLOOKUP(RechercheÉtudiant,#REF!,18,FALSE),"")</f>
        <v/>
      </c>
      <c r="S25" s="92" t="str">
        <f>IFERROR(VLOOKUP(RechercheÉtudiant,#REF!,19,FALSE),"")</f>
        <v/>
      </c>
      <c r="T25" s="92" t="str">
        <f>IFERROR(VLOOKUP(RechercheÉtudiant,#REF!,20,FALSE),"")</f>
        <v/>
      </c>
      <c r="U25" s="92" t="str">
        <f>IFERROR(VLOOKUP(RechercheÉtudiant,#REF!,21,FALSE),"")</f>
        <v/>
      </c>
      <c r="V25" s="92" t="str">
        <f>IFERROR(VLOOKUP(RechercheÉtudiant,#REF!,22,FALSE),"")</f>
        <v/>
      </c>
      <c r="W25" s="92" t="str">
        <f>IFERROR(VLOOKUP(RechercheÉtudiant,#REF!,23,FALSE),"")</f>
        <v/>
      </c>
      <c r="X25" s="92" t="str">
        <f>IFERROR(VLOOKUP(RechercheÉtudiant,#REF!,24,FALSE),"")</f>
        <v/>
      </c>
      <c r="Y25" s="92" t="str">
        <f>IFERROR(VLOOKUP(RechercheÉtudiant,#REF!,25,FALSE),"")</f>
        <v/>
      </c>
      <c r="Z25" s="92" t="str">
        <f>IFERROR(VLOOKUP(RechercheÉtudiant,#REF!,26,FALSE),"")</f>
        <v/>
      </c>
      <c r="AA25" s="92" t="str">
        <f>IFERROR(VLOOKUP(RechercheÉtudiant,#REF!,27,FALSE),"")</f>
        <v/>
      </c>
      <c r="AB25" s="92" t="str">
        <f>IFERROR(VLOOKUP(RechercheÉtudiant,#REF!,28,FALSE),"")</f>
        <v/>
      </c>
      <c r="AC25" s="92" t="str">
        <f>IFERROR(VLOOKUP(RechercheÉtudiant,#REF!,29,FALSE),"")</f>
        <v/>
      </c>
      <c r="AD25" s="92" t="str">
        <f>IFERROR(VLOOKUP(RechercheÉtudiant,#REF!,30,FALSE),"")</f>
        <v/>
      </c>
      <c r="AE25" s="92" t="str">
        <f>IFERROR(VLOOKUP(RechercheÉtudiant,#REF!,31,FALSE),"")</f>
        <v/>
      </c>
      <c r="AF25" s="92" t="str">
        <f>IFERROR(VLOOKUP(RechercheÉtudiant,#REF!,32,FALSE),"")</f>
        <v/>
      </c>
      <c r="AG25" s="92" t="str">
        <f>IFERROR(VLOOKUP(RechercheÉtudiant,#REF!,33,FALSE),"")</f>
        <v/>
      </c>
      <c r="AH25" s="197"/>
      <c r="AI25" s="197"/>
      <c r="AJ25" s="197"/>
      <c r="AK25" s="197"/>
    </row>
    <row r="26" spans="2:37" ht="14.25">
      <c r="B26" s="196" t="s">
        <v>44</v>
      </c>
      <c r="C26" s="93">
        <v>1</v>
      </c>
      <c r="D26" s="93">
        <v>2</v>
      </c>
      <c r="E26" s="93">
        <v>3</v>
      </c>
      <c r="F26" s="93">
        <v>4</v>
      </c>
      <c r="G26" s="93">
        <v>5</v>
      </c>
      <c r="H26" s="93">
        <v>6</v>
      </c>
      <c r="I26" s="93">
        <v>7</v>
      </c>
      <c r="J26" s="93">
        <v>8</v>
      </c>
      <c r="K26" s="93">
        <v>9</v>
      </c>
      <c r="L26" s="93">
        <v>10</v>
      </c>
      <c r="M26" s="93">
        <v>11</v>
      </c>
      <c r="N26" s="93">
        <v>12</v>
      </c>
      <c r="O26" s="93">
        <v>13</v>
      </c>
      <c r="P26" s="93">
        <v>14</v>
      </c>
      <c r="Q26" s="93">
        <v>15</v>
      </c>
      <c r="R26" s="93">
        <v>16</v>
      </c>
      <c r="S26" s="93">
        <v>17</v>
      </c>
      <c r="T26" s="93">
        <v>18</v>
      </c>
      <c r="U26" s="93">
        <v>19</v>
      </c>
      <c r="V26" s="93">
        <v>20</v>
      </c>
      <c r="W26" s="93">
        <v>21</v>
      </c>
      <c r="X26" s="93">
        <v>22</v>
      </c>
      <c r="Y26" s="93">
        <v>23</v>
      </c>
      <c r="Z26" s="93">
        <v>24</v>
      </c>
      <c r="AA26" s="93">
        <v>25</v>
      </c>
      <c r="AB26" s="93">
        <v>26</v>
      </c>
      <c r="AC26" s="93">
        <v>27</v>
      </c>
      <c r="AD26" s="93">
        <v>28</v>
      </c>
      <c r="AE26" s="93">
        <v>29</v>
      </c>
      <c r="AF26" s="93">
        <v>30</v>
      </c>
      <c r="AG26" s="93">
        <v>31</v>
      </c>
      <c r="AH26" s="197">
        <f>COUNTIF($D27:$AH27,Code1)</f>
        <v>0</v>
      </c>
      <c r="AI26" s="197">
        <f>COUNTIF($D27:$AH27,Code2)</f>
        <v>0</v>
      </c>
      <c r="AJ26" s="197">
        <f>COUNTIF($D27:$AH27,Code3)</f>
        <v>0</v>
      </c>
      <c r="AK26" s="197">
        <f>COUNTIF($D27:$AH27,Code4)</f>
        <v>0</v>
      </c>
    </row>
    <row r="27" spans="2:37" ht="14.25">
      <c r="B27" s="196"/>
      <c r="C27" s="92" t="str">
        <f>IFERROR(VLOOKUP(RechercheÉtudiant,#REF!,3,FALSE),"")</f>
        <v/>
      </c>
      <c r="D27" s="92" t="str">
        <f>IFERROR(VLOOKUP(RechercheÉtudiant,#REF!,4,FALSE),"")</f>
        <v/>
      </c>
      <c r="E27" s="92" t="str">
        <f>IFERROR(VLOOKUP(RechercheÉtudiant,#REF!,5,FALSE),"")</f>
        <v/>
      </c>
      <c r="F27" s="92" t="str">
        <f>IFERROR(VLOOKUP(RechercheÉtudiant,#REF!,6,FALSE),"")</f>
        <v/>
      </c>
      <c r="G27" s="92" t="str">
        <f>IFERROR(VLOOKUP(RechercheÉtudiant,#REF!,7,FALSE),"")</f>
        <v/>
      </c>
      <c r="H27" s="92" t="str">
        <f>IFERROR(VLOOKUP(RechercheÉtudiant,#REF!,8,FALSE),"")</f>
        <v/>
      </c>
      <c r="I27" s="92" t="str">
        <f>IFERROR(VLOOKUP(RechercheÉtudiant,#REF!,9,FALSE),"")</f>
        <v/>
      </c>
      <c r="J27" s="92" t="str">
        <f>IFERROR(VLOOKUP(RechercheÉtudiant,#REF!,10,FALSE),"")</f>
        <v/>
      </c>
      <c r="K27" s="92" t="str">
        <f>IFERROR(VLOOKUP(RechercheÉtudiant,#REF!,11,FALSE),"")</f>
        <v/>
      </c>
      <c r="L27" s="92" t="str">
        <f>IFERROR(VLOOKUP(RechercheÉtudiant,#REF!,12,FALSE),"")</f>
        <v/>
      </c>
      <c r="M27" s="92" t="str">
        <f>IFERROR(VLOOKUP(RechercheÉtudiant,#REF!,13,FALSE),"")</f>
        <v/>
      </c>
      <c r="N27" s="92" t="str">
        <f>IFERROR(VLOOKUP(RechercheÉtudiant,#REF!,14,FALSE),"")</f>
        <v/>
      </c>
      <c r="O27" s="92" t="str">
        <f>IFERROR(VLOOKUP(RechercheÉtudiant,#REF!,15,FALSE),"")</f>
        <v/>
      </c>
      <c r="P27" s="92" t="str">
        <f>IFERROR(VLOOKUP(RechercheÉtudiant,#REF!,16,FALSE),"")</f>
        <v/>
      </c>
      <c r="Q27" s="92" t="str">
        <f>IFERROR(VLOOKUP(RechercheÉtudiant,#REF!,17,FALSE),"")</f>
        <v/>
      </c>
      <c r="R27" s="92" t="str">
        <f>IFERROR(VLOOKUP(RechercheÉtudiant,#REF!,18,FALSE),"")</f>
        <v/>
      </c>
      <c r="S27" s="92" t="str">
        <f>IFERROR(VLOOKUP(RechercheÉtudiant,#REF!,19,FALSE),"")</f>
        <v/>
      </c>
      <c r="T27" s="92" t="str">
        <f>IFERROR(VLOOKUP(RechercheÉtudiant,#REF!,20,FALSE),"")</f>
        <v/>
      </c>
      <c r="U27" s="92" t="str">
        <f>IFERROR(VLOOKUP(RechercheÉtudiant,#REF!,21,FALSE),"")</f>
        <v/>
      </c>
      <c r="V27" s="92" t="str">
        <f>IFERROR(VLOOKUP(RechercheÉtudiant,#REF!,22,FALSE),"")</f>
        <v/>
      </c>
      <c r="W27" s="92" t="str">
        <f>IFERROR(VLOOKUP(RechercheÉtudiant,#REF!,23,FALSE),"")</f>
        <v/>
      </c>
      <c r="X27" s="92" t="str">
        <f>IFERROR(VLOOKUP(RechercheÉtudiant,#REF!,24,FALSE),"")</f>
        <v/>
      </c>
      <c r="Y27" s="92" t="str">
        <f>IFERROR(VLOOKUP(RechercheÉtudiant,#REF!,25,FALSE),"")</f>
        <v/>
      </c>
      <c r="Z27" s="92" t="str">
        <f>IFERROR(VLOOKUP(RechercheÉtudiant,#REF!,26,FALSE),"")</f>
        <v/>
      </c>
      <c r="AA27" s="92" t="str">
        <f>IFERROR(VLOOKUP(RechercheÉtudiant,#REF!,27,FALSE),"")</f>
        <v/>
      </c>
      <c r="AB27" s="92" t="str">
        <f>IFERROR(VLOOKUP(RechercheÉtudiant,#REF!,28,FALSE),"")</f>
        <v/>
      </c>
      <c r="AC27" s="92" t="str">
        <f>IFERROR(VLOOKUP(RechercheÉtudiant,#REF!,29,FALSE),"")</f>
        <v/>
      </c>
      <c r="AD27" s="92" t="str">
        <f>IFERROR(VLOOKUP(RechercheÉtudiant,#REF!,30,FALSE),"")</f>
        <v/>
      </c>
      <c r="AE27" s="92" t="str">
        <f>IFERROR(VLOOKUP(RechercheÉtudiant,#REF!,31,FALSE),"")</f>
        <v/>
      </c>
      <c r="AF27" s="92" t="str">
        <f>IFERROR(VLOOKUP(RechercheÉtudiant,#REF!,32,FALSE),"")</f>
        <v/>
      </c>
      <c r="AG27" s="92" t="str">
        <f>IFERROR(VLOOKUP(RechercheÉtudiant,#REF!,33,FALSE),"")</f>
        <v/>
      </c>
      <c r="AH27" s="197"/>
      <c r="AI27" s="197"/>
      <c r="AJ27" s="197"/>
      <c r="AK27" s="197"/>
    </row>
    <row r="28" spans="2:37" ht="14.25">
      <c r="B28" s="196" t="s">
        <v>45</v>
      </c>
      <c r="C28" s="93">
        <v>1</v>
      </c>
      <c r="D28" s="93">
        <v>2</v>
      </c>
      <c r="E28" s="93">
        <v>3</v>
      </c>
      <c r="F28" s="93">
        <v>4</v>
      </c>
      <c r="G28" s="93">
        <v>5</v>
      </c>
      <c r="H28" s="93">
        <v>6</v>
      </c>
      <c r="I28" s="93">
        <v>7</v>
      </c>
      <c r="J28" s="93">
        <v>8</v>
      </c>
      <c r="K28" s="93">
        <v>9</v>
      </c>
      <c r="L28" s="93">
        <v>10</v>
      </c>
      <c r="M28" s="93">
        <v>11</v>
      </c>
      <c r="N28" s="93">
        <v>12</v>
      </c>
      <c r="O28" s="93">
        <v>13</v>
      </c>
      <c r="P28" s="93">
        <v>14</v>
      </c>
      <c r="Q28" s="93">
        <v>15</v>
      </c>
      <c r="R28" s="93">
        <v>16</v>
      </c>
      <c r="S28" s="93">
        <v>17</v>
      </c>
      <c r="T28" s="93">
        <v>18</v>
      </c>
      <c r="U28" s="93">
        <v>19</v>
      </c>
      <c r="V28" s="93">
        <v>20</v>
      </c>
      <c r="W28" s="93">
        <v>21</v>
      </c>
      <c r="X28" s="93">
        <v>22</v>
      </c>
      <c r="Y28" s="93">
        <v>23</v>
      </c>
      <c r="Z28" s="93">
        <v>24</v>
      </c>
      <c r="AA28" s="93">
        <v>25</v>
      </c>
      <c r="AB28" s="93">
        <v>26</v>
      </c>
      <c r="AC28" s="93">
        <v>27</v>
      </c>
      <c r="AD28" s="93">
        <v>28</v>
      </c>
      <c r="AE28" s="93">
        <v>29</v>
      </c>
      <c r="AF28" s="93"/>
      <c r="AG28" s="93"/>
      <c r="AH28" s="197">
        <f>COUNTIF($D29:$AH29,Code1)</f>
        <v>0</v>
      </c>
      <c r="AI28" s="197">
        <f>COUNTIF($D29:$AH29,Code2)</f>
        <v>0</v>
      </c>
      <c r="AJ28" s="197">
        <f>COUNTIF($D29:$AH29,Code3)</f>
        <v>0</v>
      </c>
      <c r="AK28" s="197">
        <f>COUNTIF($D29:$AH29,Code4)</f>
        <v>0</v>
      </c>
    </row>
    <row r="29" spans="2:37" ht="14.25">
      <c r="B29" s="196"/>
      <c r="C29" s="92" t="str">
        <f>IFERROR(VLOOKUP(RechercheÉtudiant,#REF!,3,FALSE),"")</f>
        <v/>
      </c>
      <c r="D29" s="92" t="str">
        <f>IFERROR(VLOOKUP(RechercheÉtudiant,#REF!,4,FALSE),"")</f>
        <v/>
      </c>
      <c r="E29" s="92" t="str">
        <f>IFERROR(VLOOKUP(RechercheÉtudiant,#REF!,5,FALSE),"")</f>
        <v/>
      </c>
      <c r="F29" s="92" t="str">
        <f>IFERROR(VLOOKUP(RechercheÉtudiant,#REF!,6,FALSE),"")</f>
        <v/>
      </c>
      <c r="G29" s="92" t="str">
        <f>IFERROR(VLOOKUP(RechercheÉtudiant,#REF!,7,FALSE),"")</f>
        <v/>
      </c>
      <c r="H29" s="92" t="str">
        <f>IFERROR(VLOOKUP(RechercheÉtudiant,#REF!,8,FALSE),"")</f>
        <v/>
      </c>
      <c r="I29" s="92" t="str">
        <f>IFERROR(VLOOKUP(RechercheÉtudiant,#REF!,9,FALSE),"")</f>
        <v/>
      </c>
      <c r="J29" s="92" t="str">
        <f>IFERROR(VLOOKUP(RechercheÉtudiant,#REF!,10,FALSE),"")</f>
        <v/>
      </c>
      <c r="K29" s="92" t="str">
        <f>IFERROR(VLOOKUP(RechercheÉtudiant,#REF!,11,FALSE),"")</f>
        <v/>
      </c>
      <c r="L29" s="92" t="str">
        <f>IFERROR(VLOOKUP(RechercheÉtudiant,#REF!,12,FALSE),"")</f>
        <v/>
      </c>
      <c r="M29" s="92" t="str">
        <f>IFERROR(VLOOKUP(RechercheÉtudiant,#REF!,13,FALSE),"")</f>
        <v/>
      </c>
      <c r="N29" s="92" t="str">
        <f>IFERROR(VLOOKUP(RechercheÉtudiant,#REF!,14,FALSE),"")</f>
        <v/>
      </c>
      <c r="O29" s="92" t="str">
        <f>IFERROR(VLOOKUP(RechercheÉtudiant,#REF!,15,FALSE),"")</f>
        <v/>
      </c>
      <c r="P29" s="92" t="str">
        <f>IFERROR(VLOOKUP(RechercheÉtudiant,#REF!,16,FALSE),"")</f>
        <v/>
      </c>
      <c r="Q29" s="92" t="str">
        <f>IFERROR(VLOOKUP(RechercheÉtudiant,#REF!,17,FALSE),"")</f>
        <v/>
      </c>
      <c r="R29" s="92" t="str">
        <f>IFERROR(VLOOKUP(RechercheÉtudiant,#REF!,18,FALSE),"")</f>
        <v/>
      </c>
      <c r="S29" s="92" t="str">
        <f>IFERROR(VLOOKUP(RechercheÉtudiant,#REF!,19,FALSE),"")</f>
        <v/>
      </c>
      <c r="T29" s="92" t="str">
        <f>IFERROR(VLOOKUP(RechercheÉtudiant,#REF!,20,FALSE),"")</f>
        <v/>
      </c>
      <c r="U29" s="92" t="str">
        <f>IFERROR(VLOOKUP(RechercheÉtudiant,#REF!,21,FALSE),"")</f>
        <v/>
      </c>
      <c r="V29" s="92" t="str">
        <f>IFERROR(VLOOKUP(RechercheÉtudiant,#REF!,22,FALSE),"")</f>
        <v/>
      </c>
      <c r="W29" s="92" t="str">
        <f>IFERROR(VLOOKUP(RechercheÉtudiant,#REF!,23,FALSE),"")</f>
        <v/>
      </c>
      <c r="X29" s="92" t="str">
        <f>IFERROR(VLOOKUP(RechercheÉtudiant,#REF!,24,FALSE),"")</f>
        <v/>
      </c>
      <c r="Y29" s="92" t="str">
        <f>IFERROR(VLOOKUP(RechercheÉtudiant,#REF!,25,FALSE),"")</f>
        <v/>
      </c>
      <c r="Z29" s="92" t="str">
        <f>IFERROR(VLOOKUP(RechercheÉtudiant,#REF!,26,FALSE),"")</f>
        <v/>
      </c>
      <c r="AA29" s="92" t="str">
        <f>IFERROR(VLOOKUP(RechercheÉtudiant,#REF!,27,FALSE),"")</f>
        <v/>
      </c>
      <c r="AB29" s="92" t="str">
        <f>IFERROR(VLOOKUP(RechercheÉtudiant,#REF!,28,FALSE),"")</f>
        <v/>
      </c>
      <c r="AC29" s="92" t="str">
        <f>IFERROR(VLOOKUP(RechercheÉtudiant,#REF!,29,FALSE),"")</f>
        <v/>
      </c>
      <c r="AD29" s="92" t="str">
        <f>IFERROR(VLOOKUP(RechercheÉtudiant,#REF!,30,FALSE),"")</f>
        <v/>
      </c>
      <c r="AE29" s="92" t="str">
        <f>IFERROR(VLOOKUP(RechercheÉtudiant,#REF!,31,FALSE),"")</f>
        <v/>
      </c>
      <c r="AF29" s="92"/>
      <c r="AG29" s="92"/>
      <c r="AH29" s="197"/>
      <c r="AI29" s="197"/>
      <c r="AJ29" s="197"/>
      <c r="AK29" s="197"/>
    </row>
    <row r="30" spans="2:37" ht="14.25">
      <c r="B30" s="196" t="s">
        <v>46</v>
      </c>
      <c r="C30" s="93">
        <v>1</v>
      </c>
      <c r="D30" s="93">
        <v>2</v>
      </c>
      <c r="E30" s="93">
        <v>3</v>
      </c>
      <c r="F30" s="93">
        <v>4</v>
      </c>
      <c r="G30" s="93">
        <v>5</v>
      </c>
      <c r="H30" s="93">
        <v>6</v>
      </c>
      <c r="I30" s="93">
        <v>7</v>
      </c>
      <c r="J30" s="93">
        <v>8</v>
      </c>
      <c r="K30" s="93">
        <v>9</v>
      </c>
      <c r="L30" s="93">
        <v>10</v>
      </c>
      <c r="M30" s="93">
        <v>11</v>
      </c>
      <c r="N30" s="93">
        <v>12</v>
      </c>
      <c r="O30" s="93">
        <v>13</v>
      </c>
      <c r="P30" s="93">
        <v>14</v>
      </c>
      <c r="Q30" s="93">
        <v>15</v>
      </c>
      <c r="R30" s="93">
        <v>16</v>
      </c>
      <c r="S30" s="93">
        <v>17</v>
      </c>
      <c r="T30" s="93">
        <v>18</v>
      </c>
      <c r="U30" s="93">
        <v>19</v>
      </c>
      <c r="V30" s="93">
        <v>20</v>
      </c>
      <c r="W30" s="93">
        <v>21</v>
      </c>
      <c r="X30" s="93">
        <v>22</v>
      </c>
      <c r="Y30" s="93">
        <v>23</v>
      </c>
      <c r="Z30" s="93">
        <v>24</v>
      </c>
      <c r="AA30" s="93">
        <v>25</v>
      </c>
      <c r="AB30" s="93">
        <v>26</v>
      </c>
      <c r="AC30" s="93">
        <v>27</v>
      </c>
      <c r="AD30" s="93">
        <v>28</v>
      </c>
      <c r="AE30" s="93">
        <v>29</v>
      </c>
      <c r="AF30" s="93">
        <v>30</v>
      </c>
      <c r="AG30" s="93">
        <v>31</v>
      </c>
      <c r="AH30" s="197">
        <f>COUNTIF($D31:$AH31,Code1)</f>
        <v>0</v>
      </c>
      <c r="AI30" s="197">
        <f>COUNTIF($D31:$AH31,Code2)</f>
        <v>0</v>
      </c>
      <c r="AJ30" s="197">
        <f>COUNTIF($D31:$AH31,Code3)</f>
        <v>0</v>
      </c>
      <c r="AK30" s="197">
        <f>COUNTIF($D31:$AH31,Code4)</f>
        <v>0</v>
      </c>
    </row>
    <row r="31" spans="2:37" ht="14.25">
      <c r="B31" s="196"/>
      <c r="C31" s="92" t="str">
        <f>IFERROR(VLOOKUP(RechercheÉtudiant,#REF!,3,FALSE),"")</f>
        <v/>
      </c>
      <c r="D31" s="92" t="str">
        <f>IFERROR(VLOOKUP(RechercheÉtudiant,#REF!,4,FALSE),"")</f>
        <v/>
      </c>
      <c r="E31" s="92" t="str">
        <f>IFERROR(VLOOKUP(RechercheÉtudiant,#REF!,5,FALSE),"")</f>
        <v/>
      </c>
      <c r="F31" s="92" t="str">
        <f>IFERROR(VLOOKUP(RechercheÉtudiant,#REF!,6,FALSE),"")</f>
        <v/>
      </c>
      <c r="G31" s="92" t="str">
        <f>IFERROR(VLOOKUP(RechercheÉtudiant,#REF!,7,FALSE),"")</f>
        <v/>
      </c>
      <c r="H31" s="92" t="str">
        <f>IFERROR(VLOOKUP(RechercheÉtudiant,#REF!,8,FALSE),"")</f>
        <v/>
      </c>
      <c r="I31" s="92" t="str">
        <f>IFERROR(VLOOKUP(RechercheÉtudiant,#REF!,9,FALSE),"")</f>
        <v/>
      </c>
      <c r="J31" s="92" t="str">
        <f>IFERROR(VLOOKUP(RechercheÉtudiant,#REF!,10,FALSE),"")</f>
        <v/>
      </c>
      <c r="K31" s="92" t="str">
        <f>IFERROR(VLOOKUP(RechercheÉtudiant,#REF!,11,FALSE),"")</f>
        <v/>
      </c>
      <c r="L31" s="92" t="str">
        <f>IFERROR(VLOOKUP(RechercheÉtudiant,#REF!,12,FALSE),"")</f>
        <v/>
      </c>
      <c r="M31" s="92" t="str">
        <f>IFERROR(VLOOKUP(RechercheÉtudiant,#REF!,13,FALSE),"")</f>
        <v/>
      </c>
      <c r="N31" s="92" t="str">
        <f>IFERROR(VLOOKUP(RechercheÉtudiant,#REF!,14,FALSE),"")</f>
        <v/>
      </c>
      <c r="O31" s="92" t="str">
        <f>IFERROR(VLOOKUP(RechercheÉtudiant,#REF!,15,FALSE),"")</f>
        <v/>
      </c>
      <c r="P31" s="92" t="str">
        <f>IFERROR(VLOOKUP(RechercheÉtudiant,#REF!,16,FALSE),"")</f>
        <v/>
      </c>
      <c r="Q31" s="92" t="str">
        <f>IFERROR(VLOOKUP(RechercheÉtudiant,#REF!,17,FALSE),"")</f>
        <v/>
      </c>
      <c r="R31" s="92" t="str">
        <f>IFERROR(VLOOKUP(RechercheÉtudiant,#REF!,18,FALSE),"")</f>
        <v/>
      </c>
      <c r="S31" s="92" t="str">
        <f>IFERROR(VLOOKUP(RechercheÉtudiant,#REF!,19,FALSE),"")</f>
        <v/>
      </c>
      <c r="T31" s="92" t="str">
        <f>IFERROR(VLOOKUP(RechercheÉtudiant,#REF!,20,FALSE),"")</f>
        <v/>
      </c>
      <c r="U31" s="92" t="str">
        <f>IFERROR(VLOOKUP(RechercheÉtudiant,#REF!,21,FALSE),"")</f>
        <v/>
      </c>
      <c r="V31" s="92" t="str">
        <f>IFERROR(VLOOKUP(RechercheÉtudiant,#REF!,22,FALSE),"")</f>
        <v/>
      </c>
      <c r="W31" s="92" t="str">
        <f>IFERROR(VLOOKUP(RechercheÉtudiant,#REF!,23,FALSE),"")</f>
        <v/>
      </c>
      <c r="X31" s="92" t="str">
        <f>IFERROR(VLOOKUP(RechercheÉtudiant,#REF!,24,FALSE),"")</f>
        <v/>
      </c>
      <c r="Y31" s="92" t="str">
        <f>IFERROR(VLOOKUP(RechercheÉtudiant,#REF!,25,FALSE),"")</f>
        <v/>
      </c>
      <c r="Z31" s="92" t="str">
        <f>IFERROR(VLOOKUP(RechercheÉtudiant,#REF!,26,FALSE),"")</f>
        <v/>
      </c>
      <c r="AA31" s="92" t="str">
        <f>IFERROR(VLOOKUP(RechercheÉtudiant,#REF!,27,FALSE),"")</f>
        <v/>
      </c>
      <c r="AB31" s="92" t="str">
        <f>IFERROR(VLOOKUP(RechercheÉtudiant,#REF!,28,FALSE),"")</f>
        <v/>
      </c>
      <c r="AC31" s="92" t="str">
        <f>IFERROR(VLOOKUP(RechercheÉtudiant,#REF!,29,FALSE),"")</f>
        <v/>
      </c>
      <c r="AD31" s="92" t="str">
        <f>IFERROR(VLOOKUP(RechercheÉtudiant,#REF!,30,FALSE),"")</f>
        <v/>
      </c>
      <c r="AE31" s="92" t="str">
        <f>IFERROR(VLOOKUP(RechercheÉtudiant,#REF!,31,FALSE),"")</f>
        <v/>
      </c>
      <c r="AF31" s="92" t="str">
        <f>IFERROR(VLOOKUP(RechercheÉtudiant,#REF!,32,FALSE),"")</f>
        <v/>
      </c>
      <c r="AG31" s="92" t="str">
        <f>IFERROR(VLOOKUP(RechercheÉtudiant,#REF!,33,FALSE),"")</f>
        <v/>
      </c>
      <c r="AH31" s="197"/>
      <c r="AI31" s="197"/>
      <c r="AJ31" s="197"/>
      <c r="AK31" s="197"/>
    </row>
    <row r="32" spans="2:37" ht="14.25">
      <c r="B32" s="196" t="s">
        <v>47</v>
      </c>
      <c r="C32" s="93">
        <v>1</v>
      </c>
      <c r="D32" s="93">
        <v>2</v>
      </c>
      <c r="E32" s="93">
        <v>3</v>
      </c>
      <c r="F32" s="93">
        <v>4</v>
      </c>
      <c r="G32" s="93">
        <v>5</v>
      </c>
      <c r="H32" s="93">
        <v>6</v>
      </c>
      <c r="I32" s="93">
        <v>7</v>
      </c>
      <c r="J32" s="93">
        <v>8</v>
      </c>
      <c r="K32" s="93">
        <v>9</v>
      </c>
      <c r="L32" s="93">
        <v>10</v>
      </c>
      <c r="M32" s="93">
        <v>11</v>
      </c>
      <c r="N32" s="93">
        <v>12</v>
      </c>
      <c r="O32" s="93">
        <v>13</v>
      </c>
      <c r="P32" s="93">
        <v>14</v>
      </c>
      <c r="Q32" s="93">
        <v>15</v>
      </c>
      <c r="R32" s="93">
        <v>16</v>
      </c>
      <c r="S32" s="93">
        <v>17</v>
      </c>
      <c r="T32" s="93">
        <v>18</v>
      </c>
      <c r="U32" s="93">
        <v>19</v>
      </c>
      <c r="V32" s="93">
        <v>20</v>
      </c>
      <c r="W32" s="93">
        <v>21</v>
      </c>
      <c r="X32" s="93">
        <v>22</v>
      </c>
      <c r="Y32" s="93">
        <v>23</v>
      </c>
      <c r="Z32" s="93">
        <v>24</v>
      </c>
      <c r="AA32" s="93">
        <v>25</v>
      </c>
      <c r="AB32" s="93">
        <v>26</v>
      </c>
      <c r="AC32" s="93">
        <v>27</v>
      </c>
      <c r="AD32" s="93">
        <v>28</v>
      </c>
      <c r="AE32" s="93">
        <v>29</v>
      </c>
      <c r="AF32" s="93">
        <v>30</v>
      </c>
      <c r="AG32" s="93"/>
      <c r="AH32" s="197">
        <f>COUNTIF($D33:$AH33,Code1)</f>
        <v>0</v>
      </c>
      <c r="AI32" s="197">
        <f>COUNTIF($D33:$AH33,Code2)</f>
        <v>0</v>
      </c>
      <c r="AJ32" s="197">
        <f>COUNTIF($D33:$AH33,Code3)</f>
        <v>0</v>
      </c>
      <c r="AK32" s="197">
        <f>COUNTIF($D33:$AH33,Code4)</f>
        <v>0</v>
      </c>
    </row>
    <row r="33" spans="2:37" ht="14.25">
      <c r="B33" s="196"/>
      <c r="C33" s="92" t="str">
        <f>IFERROR(VLOOKUP(RechercheÉtudiant,#REF!,3,FALSE),"")</f>
        <v/>
      </c>
      <c r="D33" s="92" t="str">
        <f>IFERROR(VLOOKUP(RechercheÉtudiant,#REF!,4,FALSE),"")</f>
        <v/>
      </c>
      <c r="E33" s="92" t="str">
        <f>IFERROR(VLOOKUP(RechercheÉtudiant,#REF!,5,FALSE),"")</f>
        <v/>
      </c>
      <c r="F33" s="92" t="str">
        <f>IFERROR(VLOOKUP(RechercheÉtudiant,#REF!,6,FALSE),"")</f>
        <v/>
      </c>
      <c r="G33" s="92" t="str">
        <f>IFERROR(VLOOKUP(RechercheÉtudiant,#REF!,7,FALSE),"")</f>
        <v/>
      </c>
      <c r="H33" s="92" t="str">
        <f>IFERROR(VLOOKUP(RechercheÉtudiant,#REF!,8,FALSE),"")</f>
        <v/>
      </c>
      <c r="I33" s="92" t="str">
        <f>IFERROR(VLOOKUP(RechercheÉtudiant,#REF!,9,FALSE),"")</f>
        <v/>
      </c>
      <c r="J33" s="92" t="str">
        <f>IFERROR(VLOOKUP(RechercheÉtudiant,#REF!,10,FALSE),"")</f>
        <v/>
      </c>
      <c r="K33" s="92" t="str">
        <f>IFERROR(VLOOKUP(RechercheÉtudiant,#REF!,11,FALSE),"")</f>
        <v/>
      </c>
      <c r="L33" s="92" t="str">
        <f>IFERROR(VLOOKUP(RechercheÉtudiant,#REF!,12,FALSE),"")</f>
        <v/>
      </c>
      <c r="M33" s="92" t="str">
        <f>IFERROR(VLOOKUP(RechercheÉtudiant,#REF!,13,FALSE),"")</f>
        <v/>
      </c>
      <c r="N33" s="92" t="str">
        <f>IFERROR(VLOOKUP(RechercheÉtudiant,#REF!,14,FALSE),"")</f>
        <v/>
      </c>
      <c r="O33" s="92" t="str">
        <f>IFERROR(VLOOKUP(RechercheÉtudiant,#REF!,15,FALSE),"")</f>
        <v/>
      </c>
      <c r="P33" s="92" t="str">
        <f>IFERROR(VLOOKUP(RechercheÉtudiant,#REF!,16,FALSE),"")</f>
        <v/>
      </c>
      <c r="Q33" s="92" t="str">
        <f>IFERROR(VLOOKUP(RechercheÉtudiant,#REF!,17,FALSE),"")</f>
        <v/>
      </c>
      <c r="R33" s="92" t="str">
        <f>IFERROR(VLOOKUP(RechercheÉtudiant,#REF!,18,FALSE),"")</f>
        <v/>
      </c>
      <c r="S33" s="92" t="str">
        <f>IFERROR(VLOOKUP(RechercheÉtudiant,#REF!,19,FALSE),"")</f>
        <v/>
      </c>
      <c r="T33" s="92" t="str">
        <f>IFERROR(VLOOKUP(RechercheÉtudiant,#REF!,20,FALSE),"")</f>
        <v/>
      </c>
      <c r="U33" s="92" t="str">
        <f>IFERROR(VLOOKUP(RechercheÉtudiant,#REF!,21,FALSE),"")</f>
        <v/>
      </c>
      <c r="V33" s="92" t="str">
        <f>IFERROR(VLOOKUP(RechercheÉtudiant,#REF!,22,FALSE),"")</f>
        <v/>
      </c>
      <c r="W33" s="92" t="str">
        <f>IFERROR(VLOOKUP(RechercheÉtudiant,#REF!,23,FALSE),"")</f>
        <v/>
      </c>
      <c r="X33" s="92" t="str">
        <f>IFERROR(VLOOKUP(RechercheÉtudiant,#REF!,24,FALSE),"")</f>
        <v/>
      </c>
      <c r="Y33" s="92" t="str">
        <f>IFERROR(VLOOKUP(RechercheÉtudiant,#REF!,25,FALSE),"")</f>
        <v/>
      </c>
      <c r="Z33" s="92" t="str">
        <f>IFERROR(VLOOKUP(RechercheÉtudiant,#REF!,26,FALSE),"")</f>
        <v/>
      </c>
      <c r="AA33" s="92" t="str">
        <f>IFERROR(VLOOKUP(RechercheÉtudiant,#REF!,27,FALSE),"")</f>
        <v/>
      </c>
      <c r="AB33" s="92" t="str">
        <f>IFERROR(VLOOKUP(RechercheÉtudiant,#REF!,28,FALSE),"")</f>
        <v/>
      </c>
      <c r="AC33" s="92" t="str">
        <f>IFERROR(VLOOKUP(RechercheÉtudiant,#REF!,29,FALSE),"")</f>
        <v/>
      </c>
      <c r="AD33" s="92" t="str">
        <f>IFERROR(VLOOKUP(RechercheÉtudiant,#REF!,30,FALSE),"")</f>
        <v/>
      </c>
      <c r="AE33" s="92" t="str">
        <f>IFERROR(VLOOKUP(RechercheÉtudiant,#REF!,31,FALSE),"")</f>
        <v/>
      </c>
      <c r="AF33" s="92" t="str">
        <f>IFERROR(VLOOKUP(RechercheÉtudiant,#REF!,32,FALSE),"")</f>
        <v/>
      </c>
      <c r="AG33" s="92"/>
      <c r="AH33" s="197"/>
      <c r="AI33" s="197"/>
      <c r="AJ33" s="197"/>
      <c r="AK33" s="197"/>
    </row>
    <row r="34" spans="2:37" ht="14.25">
      <c r="B34" s="196" t="s">
        <v>48</v>
      </c>
      <c r="C34" s="93">
        <v>1</v>
      </c>
      <c r="D34" s="93">
        <v>2</v>
      </c>
      <c r="E34" s="93">
        <v>3</v>
      </c>
      <c r="F34" s="93">
        <v>4</v>
      </c>
      <c r="G34" s="93">
        <v>5</v>
      </c>
      <c r="H34" s="93">
        <v>6</v>
      </c>
      <c r="I34" s="93">
        <v>7</v>
      </c>
      <c r="J34" s="93">
        <v>8</v>
      </c>
      <c r="K34" s="93">
        <v>9</v>
      </c>
      <c r="L34" s="93">
        <v>10</v>
      </c>
      <c r="M34" s="93">
        <v>11</v>
      </c>
      <c r="N34" s="93">
        <v>12</v>
      </c>
      <c r="O34" s="93">
        <v>13</v>
      </c>
      <c r="P34" s="93">
        <v>14</v>
      </c>
      <c r="Q34" s="93">
        <v>15</v>
      </c>
      <c r="R34" s="93">
        <v>16</v>
      </c>
      <c r="S34" s="93">
        <v>17</v>
      </c>
      <c r="T34" s="93">
        <v>18</v>
      </c>
      <c r="U34" s="93">
        <v>19</v>
      </c>
      <c r="V34" s="93">
        <v>20</v>
      </c>
      <c r="W34" s="93">
        <v>21</v>
      </c>
      <c r="X34" s="93">
        <v>22</v>
      </c>
      <c r="Y34" s="93">
        <v>23</v>
      </c>
      <c r="Z34" s="93">
        <v>24</v>
      </c>
      <c r="AA34" s="93">
        <v>25</v>
      </c>
      <c r="AB34" s="93">
        <v>26</v>
      </c>
      <c r="AC34" s="93">
        <v>27</v>
      </c>
      <c r="AD34" s="93">
        <v>28</v>
      </c>
      <c r="AE34" s="93">
        <v>29</v>
      </c>
      <c r="AF34" s="93">
        <v>30</v>
      </c>
      <c r="AG34" s="93">
        <v>31</v>
      </c>
      <c r="AH34" s="197">
        <f>COUNTIF($D35:$AH35,Code1)</f>
        <v>0</v>
      </c>
      <c r="AI34" s="197">
        <f>COUNTIF($D35:$AH35,Code2)</f>
        <v>0</v>
      </c>
      <c r="AJ34" s="197">
        <f>COUNTIF($D35:$AH35,Code3)</f>
        <v>0</v>
      </c>
      <c r="AK34" s="197">
        <f>COUNTIF($D35:$AH35,Code4)</f>
        <v>0</v>
      </c>
    </row>
    <row r="35" spans="2:37" ht="14.25">
      <c r="B35" s="196"/>
      <c r="C35" s="92" t="str">
        <f>IFERROR(VLOOKUP(RechercheÉtudiant,#REF!,3,FALSE),"")</f>
        <v/>
      </c>
      <c r="D35" s="92" t="str">
        <f>IFERROR(VLOOKUP(RechercheÉtudiant,#REF!,4,FALSE),"")</f>
        <v/>
      </c>
      <c r="E35" s="92" t="str">
        <f>IFERROR(VLOOKUP(RechercheÉtudiant,#REF!,5,FALSE),"")</f>
        <v/>
      </c>
      <c r="F35" s="92" t="str">
        <f>IFERROR(VLOOKUP(RechercheÉtudiant,#REF!,6,FALSE),"")</f>
        <v/>
      </c>
      <c r="G35" s="92" t="str">
        <f>IFERROR(VLOOKUP(RechercheÉtudiant,#REF!,7,FALSE),"")</f>
        <v/>
      </c>
      <c r="H35" s="92" t="str">
        <f>IFERROR(VLOOKUP(RechercheÉtudiant,#REF!,8,FALSE),"")</f>
        <v/>
      </c>
      <c r="I35" s="92" t="str">
        <f>IFERROR(VLOOKUP(RechercheÉtudiant,#REF!,9,FALSE),"")</f>
        <v/>
      </c>
      <c r="J35" s="92" t="str">
        <f>IFERROR(VLOOKUP(RechercheÉtudiant,#REF!,10,FALSE),"")</f>
        <v/>
      </c>
      <c r="K35" s="92" t="str">
        <f>IFERROR(VLOOKUP(RechercheÉtudiant,#REF!,11,FALSE),"")</f>
        <v/>
      </c>
      <c r="L35" s="92" t="str">
        <f>IFERROR(VLOOKUP(RechercheÉtudiant,#REF!,12,FALSE),"")</f>
        <v/>
      </c>
      <c r="M35" s="92" t="str">
        <f>IFERROR(VLOOKUP(RechercheÉtudiant,#REF!,13,FALSE),"")</f>
        <v/>
      </c>
      <c r="N35" s="92" t="str">
        <f>IFERROR(VLOOKUP(RechercheÉtudiant,#REF!,14,FALSE),"")</f>
        <v/>
      </c>
      <c r="O35" s="92" t="str">
        <f>IFERROR(VLOOKUP(RechercheÉtudiant,#REF!,15,FALSE),"")</f>
        <v/>
      </c>
      <c r="P35" s="92" t="str">
        <f>IFERROR(VLOOKUP(RechercheÉtudiant,#REF!,16,FALSE),"")</f>
        <v/>
      </c>
      <c r="Q35" s="92" t="str">
        <f>IFERROR(VLOOKUP(RechercheÉtudiant,#REF!,17,FALSE),"")</f>
        <v/>
      </c>
      <c r="R35" s="92" t="str">
        <f>IFERROR(VLOOKUP(RechercheÉtudiant,#REF!,18,FALSE),"")</f>
        <v/>
      </c>
      <c r="S35" s="92" t="str">
        <f>IFERROR(VLOOKUP(RechercheÉtudiant,#REF!,19,FALSE),"")</f>
        <v/>
      </c>
      <c r="T35" s="92" t="str">
        <f>IFERROR(VLOOKUP(RechercheÉtudiant,#REF!,20,FALSE),"")</f>
        <v/>
      </c>
      <c r="U35" s="92" t="str">
        <f>IFERROR(VLOOKUP(RechercheÉtudiant,#REF!,21,FALSE),"")</f>
        <v/>
      </c>
      <c r="V35" s="92" t="str">
        <f>IFERROR(VLOOKUP(RechercheÉtudiant,#REF!,22,FALSE),"")</f>
        <v/>
      </c>
      <c r="W35" s="92" t="str">
        <f>IFERROR(VLOOKUP(RechercheÉtudiant,#REF!,23,FALSE),"")</f>
        <v/>
      </c>
      <c r="X35" s="92" t="str">
        <f>IFERROR(VLOOKUP(RechercheÉtudiant,#REF!,24,FALSE),"")</f>
        <v/>
      </c>
      <c r="Y35" s="92" t="str">
        <f>IFERROR(VLOOKUP(RechercheÉtudiant,#REF!,25,FALSE),"")</f>
        <v/>
      </c>
      <c r="Z35" s="92" t="str">
        <f>IFERROR(VLOOKUP(RechercheÉtudiant,#REF!,26,FALSE),"")</f>
        <v/>
      </c>
      <c r="AA35" s="92" t="str">
        <f>IFERROR(VLOOKUP(RechercheÉtudiant,#REF!,27,FALSE),"")</f>
        <v/>
      </c>
      <c r="AB35" s="92" t="str">
        <f>IFERROR(VLOOKUP(RechercheÉtudiant,#REF!,28,FALSE),"")</f>
        <v/>
      </c>
      <c r="AC35" s="92" t="str">
        <f>IFERROR(VLOOKUP(RechercheÉtudiant,#REF!,29,FALSE),"")</f>
        <v/>
      </c>
      <c r="AD35" s="92" t="str">
        <f>IFERROR(VLOOKUP(RechercheÉtudiant,#REF!,30,FALSE),"")</f>
        <v/>
      </c>
      <c r="AE35" s="92" t="str">
        <f>IFERROR(VLOOKUP(RechercheÉtudiant,#REF!,31,FALSE),"")</f>
        <v/>
      </c>
      <c r="AF35" s="92" t="str">
        <f>IFERROR(VLOOKUP(RechercheÉtudiant,#REF!,32,FALSE),"")</f>
        <v/>
      </c>
      <c r="AG35" s="92" t="str">
        <f>IFERROR(VLOOKUP(RechercheÉtudiant,#REF!,33,FALSE),"")</f>
        <v/>
      </c>
      <c r="AH35" s="197"/>
      <c r="AI35" s="197"/>
      <c r="AJ35" s="197"/>
      <c r="AK35" s="197"/>
    </row>
    <row r="36" spans="2:37" ht="14.25">
      <c r="B36" s="198" t="s">
        <v>49</v>
      </c>
      <c r="C36" s="93">
        <v>1</v>
      </c>
      <c r="D36" s="93">
        <v>2</v>
      </c>
      <c r="E36" s="93">
        <v>3</v>
      </c>
      <c r="F36" s="93">
        <v>4</v>
      </c>
      <c r="G36" s="93">
        <v>5</v>
      </c>
      <c r="H36" s="93">
        <v>6</v>
      </c>
      <c r="I36" s="93">
        <v>7</v>
      </c>
      <c r="J36" s="93">
        <v>8</v>
      </c>
      <c r="K36" s="93">
        <v>9</v>
      </c>
      <c r="L36" s="93">
        <v>10</v>
      </c>
      <c r="M36" s="93">
        <v>11</v>
      </c>
      <c r="N36" s="93">
        <v>12</v>
      </c>
      <c r="O36" s="93">
        <v>13</v>
      </c>
      <c r="P36" s="93">
        <v>14</v>
      </c>
      <c r="Q36" s="93">
        <v>15</v>
      </c>
      <c r="R36" s="93">
        <v>16</v>
      </c>
      <c r="S36" s="93">
        <v>17</v>
      </c>
      <c r="T36" s="93">
        <v>18</v>
      </c>
      <c r="U36" s="93">
        <v>19</v>
      </c>
      <c r="V36" s="93">
        <v>20</v>
      </c>
      <c r="W36" s="93">
        <v>21</v>
      </c>
      <c r="X36" s="93">
        <v>22</v>
      </c>
      <c r="Y36" s="93">
        <v>23</v>
      </c>
      <c r="Z36" s="93">
        <v>24</v>
      </c>
      <c r="AA36" s="93">
        <v>25</v>
      </c>
      <c r="AB36" s="93">
        <v>26</v>
      </c>
      <c r="AC36" s="93">
        <v>27</v>
      </c>
      <c r="AD36" s="93">
        <v>28</v>
      </c>
      <c r="AE36" s="93">
        <v>29</v>
      </c>
      <c r="AF36" s="93">
        <v>30</v>
      </c>
      <c r="AG36" s="93"/>
      <c r="AH36" s="193">
        <f>COUNTIF($D37:$AH37,Code1)</f>
        <v>0</v>
      </c>
      <c r="AI36" s="193">
        <f>COUNTIF($D37:$AH37,Code2)</f>
        <v>0</v>
      </c>
      <c r="AJ36" s="193">
        <f>COUNTIF($D37:$AH37,Code3)</f>
        <v>0</v>
      </c>
      <c r="AK36" s="193">
        <f>COUNTIF($D37:$AH37,Code4)</f>
        <v>0</v>
      </c>
    </row>
    <row r="37" spans="2:37" ht="14.25">
      <c r="B37" s="199"/>
      <c r="C37" s="92" t="str">
        <f>IFERROR(VLOOKUP(RechercheÉtudiant,#REF!,3,FALSE),"")</f>
        <v/>
      </c>
      <c r="D37" s="92" t="str">
        <f>IFERROR(VLOOKUP(RechercheÉtudiant,#REF!,4,FALSE),"")</f>
        <v/>
      </c>
      <c r="E37" s="92" t="str">
        <f>IFERROR(VLOOKUP(RechercheÉtudiant,#REF!,5,FALSE),"")</f>
        <v/>
      </c>
      <c r="F37" s="92" t="str">
        <f>IFERROR(VLOOKUP(RechercheÉtudiant,#REF!,6,FALSE),"")</f>
        <v/>
      </c>
      <c r="G37" s="92" t="str">
        <f>IFERROR(VLOOKUP(RechercheÉtudiant,#REF!,7,FALSE),"")</f>
        <v/>
      </c>
      <c r="H37" s="92" t="str">
        <f>IFERROR(VLOOKUP(RechercheÉtudiant,#REF!,8,FALSE),"")</f>
        <v/>
      </c>
      <c r="I37" s="92" t="str">
        <f>IFERROR(VLOOKUP(RechercheÉtudiant,#REF!,9,FALSE),"")</f>
        <v/>
      </c>
      <c r="J37" s="92" t="str">
        <f>IFERROR(VLOOKUP(RechercheÉtudiant,#REF!,10,FALSE),"")</f>
        <v/>
      </c>
      <c r="K37" s="92" t="str">
        <f>IFERROR(VLOOKUP(RechercheÉtudiant,#REF!,11,FALSE),"")</f>
        <v/>
      </c>
      <c r="L37" s="92" t="str">
        <f>IFERROR(VLOOKUP(RechercheÉtudiant,#REF!,12,FALSE),"")</f>
        <v/>
      </c>
      <c r="M37" s="92" t="str">
        <f>IFERROR(VLOOKUP(RechercheÉtudiant,#REF!,13,FALSE),"")</f>
        <v/>
      </c>
      <c r="N37" s="92" t="str">
        <f>IFERROR(VLOOKUP(RechercheÉtudiant,#REF!,14,FALSE),"")</f>
        <v/>
      </c>
      <c r="O37" s="92" t="str">
        <f>IFERROR(VLOOKUP(RechercheÉtudiant,#REF!,15,FALSE),"")</f>
        <v/>
      </c>
      <c r="P37" s="92" t="str">
        <f>IFERROR(VLOOKUP(RechercheÉtudiant,#REF!,16,FALSE),"")</f>
        <v/>
      </c>
      <c r="Q37" s="92" t="str">
        <f>IFERROR(VLOOKUP(RechercheÉtudiant,#REF!,17,FALSE),"")</f>
        <v/>
      </c>
      <c r="R37" s="92" t="str">
        <f>IFERROR(VLOOKUP(RechercheÉtudiant,#REF!,18,FALSE),"")</f>
        <v/>
      </c>
      <c r="S37" s="92" t="str">
        <f>IFERROR(VLOOKUP(RechercheÉtudiant,#REF!,19,FALSE),"")</f>
        <v/>
      </c>
      <c r="T37" s="92" t="str">
        <f>IFERROR(VLOOKUP(RechercheÉtudiant,#REF!,20,FALSE),"")</f>
        <v/>
      </c>
      <c r="U37" s="92" t="str">
        <f>IFERROR(VLOOKUP(RechercheÉtudiant,#REF!,21,FALSE),"")</f>
        <v/>
      </c>
      <c r="V37" s="92" t="str">
        <f>IFERROR(VLOOKUP(RechercheÉtudiant,#REF!,22,FALSE),"")</f>
        <v/>
      </c>
      <c r="W37" s="92" t="str">
        <f>IFERROR(VLOOKUP(RechercheÉtudiant,#REF!,23,FALSE),"")</f>
        <v/>
      </c>
      <c r="X37" s="92" t="str">
        <f>IFERROR(VLOOKUP(RechercheÉtudiant,#REF!,24,FALSE),"")</f>
        <v/>
      </c>
      <c r="Y37" s="92" t="str">
        <f>IFERROR(VLOOKUP(RechercheÉtudiant,#REF!,25,FALSE),"")</f>
        <v/>
      </c>
      <c r="Z37" s="92" t="str">
        <f>IFERROR(VLOOKUP(RechercheÉtudiant,#REF!,26,FALSE),"")</f>
        <v/>
      </c>
      <c r="AA37" s="92" t="str">
        <f>IFERROR(VLOOKUP(RechercheÉtudiant,#REF!,27,FALSE),"")</f>
        <v/>
      </c>
      <c r="AB37" s="92" t="str">
        <f>IFERROR(VLOOKUP(RechercheÉtudiant,#REF!,28,FALSE),"")</f>
        <v/>
      </c>
      <c r="AC37" s="92" t="str">
        <f>IFERROR(VLOOKUP(RechercheÉtudiant,#REF!,29,FALSE),"")</f>
        <v/>
      </c>
      <c r="AD37" s="92" t="str">
        <f>IFERROR(VLOOKUP(RechercheÉtudiant,#REF!,30,FALSE),"")</f>
        <v/>
      </c>
      <c r="AE37" s="92" t="str">
        <f>IFERROR(VLOOKUP(RechercheÉtudiant,#REF!,31,FALSE),"")</f>
        <v/>
      </c>
      <c r="AF37" s="92" t="str">
        <f>IFERROR(VLOOKUP(RechercheÉtudiant,#REF!,32,FALSE),"")</f>
        <v/>
      </c>
      <c r="AG37" s="92"/>
      <c r="AH37" s="194"/>
      <c r="AI37" s="194"/>
      <c r="AJ37" s="194"/>
      <c r="AK37" s="194"/>
    </row>
    <row r="38" spans="2:37" ht="14.25">
      <c r="B38" s="198" t="s">
        <v>50</v>
      </c>
      <c r="C38" s="93">
        <v>1</v>
      </c>
      <c r="D38" s="93">
        <v>2</v>
      </c>
      <c r="E38" s="93">
        <v>3</v>
      </c>
      <c r="F38" s="93">
        <v>4</v>
      </c>
      <c r="G38" s="93">
        <v>5</v>
      </c>
      <c r="H38" s="93">
        <v>6</v>
      </c>
      <c r="I38" s="93">
        <v>7</v>
      </c>
      <c r="J38" s="93">
        <v>8</v>
      </c>
      <c r="K38" s="93">
        <v>9</v>
      </c>
      <c r="L38" s="93">
        <v>10</v>
      </c>
      <c r="M38" s="93">
        <v>11</v>
      </c>
      <c r="N38" s="93">
        <v>12</v>
      </c>
      <c r="O38" s="93">
        <v>13</v>
      </c>
      <c r="P38" s="93">
        <v>14</v>
      </c>
      <c r="Q38" s="93">
        <v>15</v>
      </c>
      <c r="R38" s="93">
        <v>16</v>
      </c>
      <c r="S38" s="93">
        <v>17</v>
      </c>
      <c r="T38" s="93">
        <v>18</v>
      </c>
      <c r="U38" s="93">
        <v>19</v>
      </c>
      <c r="V38" s="93">
        <v>20</v>
      </c>
      <c r="W38" s="93">
        <v>21</v>
      </c>
      <c r="X38" s="93">
        <v>22</v>
      </c>
      <c r="Y38" s="93">
        <v>23</v>
      </c>
      <c r="Z38" s="93">
        <v>24</v>
      </c>
      <c r="AA38" s="93">
        <v>25</v>
      </c>
      <c r="AB38" s="93">
        <v>26</v>
      </c>
      <c r="AC38" s="93">
        <v>27</v>
      </c>
      <c r="AD38" s="93">
        <v>28</v>
      </c>
      <c r="AE38" s="93">
        <v>29</v>
      </c>
      <c r="AF38" s="93">
        <v>30</v>
      </c>
      <c r="AG38" s="93">
        <v>31</v>
      </c>
      <c r="AH38" s="193">
        <f>COUNTIF($D39:$AH39,Code1)</f>
        <v>0</v>
      </c>
      <c r="AI38" s="193">
        <f>COUNTIF($D39:$AH39,Code2)</f>
        <v>0</v>
      </c>
      <c r="AJ38" s="193">
        <f>COUNTIF($D39:$AH39,Code3)</f>
        <v>0</v>
      </c>
      <c r="AK38" s="193">
        <f>COUNTIF($D39:$AH39,Code4)</f>
        <v>0</v>
      </c>
    </row>
    <row r="39" spans="2:37" ht="14.25">
      <c r="B39" s="199"/>
      <c r="C39" s="92" t="str">
        <f>IFERROR(VLOOKUP(RechercheÉtudiant,#REF!,3,FALSE),"")</f>
        <v/>
      </c>
      <c r="D39" s="92" t="str">
        <f>IFERROR(VLOOKUP(RechercheÉtudiant,#REF!,4,FALSE),"")</f>
        <v/>
      </c>
      <c r="E39" s="92" t="str">
        <f>IFERROR(VLOOKUP(RechercheÉtudiant,#REF!,5,FALSE),"")</f>
        <v/>
      </c>
      <c r="F39" s="92" t="str">
        <f>IFERROR(VLOOKUP(RechercheÉtudiant,#REF!,6,FALSE),"")</f>
        <v/>
      </c>
      <c r="G39" s="92" t="str">
        <f>IFERROR(VLOOKUP(RechercheÉtudiant,#REF!,7,FALSE),"")</f>
        <v/>
      </c>
      <c r="H39" s="92" t="str">
        <f>IFERROR(VLOOKUP(RechercheÉtudiant,#REF!,8,FALSE),"")</f>
        <v/>
      </c>
      <c r="I39" s="92" t="str">
        <f>IFERROR(VLOOKUP(RechercheÉtudiant,#REF!,9,FALSE),"")</f>
        <v/>
      </c>
      <c r="J39" s="92" t="str">
        <f>IFERROR(VLOOKUP(RechercheÉtudiant,#REF!,10,FALSE),"")</f>
        <v/>
      </c>
      <c r="K39" s="92" t="str">
        <f>IFERROR(VLOOKUP(RechercheÉtudiant,#REF!,11,FALSE),"")</f>
        <v/>
      </c>
      <c r="L39" s="92" t="str">
        <f>IFERROR(VLOOKUP(RechercheÉtudiant,#REF!,12,FALSE),"")</f>
        <v/>
      </c>
      <c r="M39" s="92" t="str">
        <f>IFERROR(VLOOKUP(RechercheÉtudiant,#REF!,13,FALSE),"")</f>
        <v/>
      </c>
      <c r="N39" s="92" t="str">
        <f>IFERROR(VLOOKUP(RechercheÉtudiant,#REF!,14,FALSE),"")</f>
        <v/>
      </c>
      <c r="O39" s="92" t="str">
        <f>IFERROR(VLOOKUP(RechercheÉtudiant,#REF!,15,FALSE),"")</f>
        <v/>
      </c>
      <c r="P39" s="92" t="str">
        <f>IFERROR(VLOOKUP(RechercheÉtudiant,#REF!,16,FALSE),"")</f>
        <v/>
      </c>
      <c r="Q39" s="92" t="str">
        <f>IFERROR(VLOOKUP(RechercheÉtudiant,#REF!,17,FALSE),"")</f>
        <v/>
      </c>
      <c r="R39" s="92" t="str">
        <f>IFERROR(VLOOKUP(RechercheÉtudiant,#REF!,18,FALSE),"")</f>
        <v/>
      </c>
      <c r="S39" s="92" t="str">
        <f>IFERROR(VLOOKUP(RechercheÉtudiant,#REF!,19,FALSE),"")</f>
        <v/>
      </c>
      <c r="T39" s="92" t="str">
        <f>IFERROR(VLOOKUP(RechercheÉtudiant,#REF!,20,FALSE),"")</f>
        <v/>
      </c>
      <c r="U39" s="92" t="str">
        <f>IFERROR(VLOOKUP(RechercheÉtudiant,#REF!,21,FALSE),"")</f>
        <v/>
      </c>
      <c r="V39" s="92" t="str">
        <f>IFERROR(VLOOKUP(RechercheÉtudiant,#REF!,22,FALSE),"")</f>
        <v/>
      </c>
      <c r="W39" s="92" t="str">
        <f>IFERROR(VLOOKUP(RechercheÉtudiant,#REF!,23,FALSE),"")</f>
        <v/>
      </c>
      <c r="X39" s="92" t="str">
        <f>IFERROR(VLOOKUP(RechercheÉtudiant,#REF!,24,FALSE),"")</f>
        <v/>
      </c>
      <c r="Y39" s="92" t="str">
        <f>IFERROR(VLOOKUP(RechercheÉtudiant,#REF!,25,FALSE),"")</f>
        <v/>
      </c>
      <c r="Z39" s="92" t="str">
        <f>IFERROR(VLOOKUP(RechercheÉtudiant,#REF!,26,FALSE),"")</f>
        <v/>
      </c>
      <c r="AA39" s="92" t="str">
        <f>IFERROR(VLOOKUP(RechercheÉtudiant,#REF!,27,FALSE),"")</f>
        <v/>
      </c>
      <c r="AB39" s="92" t="str">
        <f>IFERROR(VLOOKUP(RechercheÉtudiant,#REF!,28,FALSE),"")</f>
        <v/>
      </c>
      <c r="AC39" s="92" t="str">
        <f>IFERROR(VLOOKUP(RechercheÉtudiant,#REF!,29,FALSE),"")</f>
        <v/>
      </c>
      <c r="AD39" s="92" t="str">
        <f>IFERROR(VLOOKUP(RechercheÉtudiant,#REF!,30,FALSE),"")</f>
        <v/>
      </c>
      <c r="AE39" s="92" t="str">
        <f>IFERROR(VLOOKUP(RechercheÉtudiant,#REF!,31,FALSE),"")</f>
        <v/>
      </c>
      <c r="AF39" s="92" t="str">
        <f>IFERROR(VLOOKUP(RechercheÉtudiant,#REF!,32,FALSE),"")</f>
        <v/>
      </c>
      <c r="AG39" s="92" t="str">
        <f>IFERROR(VLOOKUP(RechercheÉtudiant,#REF!,33,FALSE),"")</f>
        <v/>
      </c>
      <c r="AH39" s="194"/>
      <c r="AI39" s="194"/>
      <c r="AJ39" s="194"/>
      <c r="AK39" s="194"/>
    </row>
    <row r="40" spans="2:37" ht="14.25">
      <c r="B40" s="94"/>
      <c r="C40" s="94"/>
      <c r="D40" s="94"/>
      <c r="E40" s="94"/>
      <c r="F40" s="94"/>
      <c r="G40" s="94"/>
      <c r="H40" s="94"/>
      <c r="I40" s="94"/>
      <c r="J40" s="94"/>
      <c r="K40" s="94"/>
      <c r="L40" s="94"/>
      <c r="M40" s="94"/>
      <c r="N40" s="94"/>
      <c r="O40" s="94"/>
      <c r="P40" s="94"/>
      <c r="Q40" s="94"/>
      <c r="R40" s="94"/>
      <c r="S40" s="95"/>
      <c r="T40" s="95"/>
      <c r="U40" s="95"/>
      <c r="V40" s="95"/>
      <c r="W40" s="95"/>
      <c r="X40" s="95"/>
      <c r="Y40" s="95"/>
      <c r="Z40" s="95"/>
      <c r="AA40" s="95"/>
      <c r="AB40" s="95"/>
      <c r="AC40" s="95"/>
      <c r="AD40" s="95"/>
      <c r="AE40" s="195" t="s">
        <v>28</v>
      </c>
      <c r="AF40" s="195"/>
      <c r="AG40" s="195"/>
      <c r="AH40" s="96">
        <f>SUM(AH16:AH39)</f>
        <v>0</v>
      </c>
      <c r="AI40" s="96">
        <f>SUM(AI16:AI39)</f>
        <v>0</v>
      </c>
      <c r="AJ40" s="96">
        <f>SUM(AJ16:AJ39)</f>
        <v>0</v>
      </c>
      <c r="AK40" s="96">
        <f>SUM(AK16:AK39)</f>
        <v>0</v>
      </c>
    </row>
  </sheetData>
  <sheetProtection formatColumns="0" formatRows="0" selectLockedCells="1"/>
  <mergeCells count="100">
    <mergeCell ref="AE5:AK5"/>
    <mergeCell ref="B6:J6"/>
    <mergeCell ref="K6:V6"/>
    <mergeCell ref="W6:AD6"/>
    <mergeCell ref="AE6:AK6"/>
    <mergeCell ref="B5:J5"/>
    <mergeCell ref="K5:V5"/>
    <mergeCell ref="B7:J7"/>
    <mergeCell ref="K7:V7"/>
    <mergeCell ref="W7:AD7"/>
    <mergeCell ref="AE7:AK7"/>
    <mergeCell ref="B8:J8"/>
    <mergeCell ref="K8:V8"/>
    <mergeCell ref="W8:AD8"/>
    <mergeCell ref="AE8:AK8"/>
    <mergeCell ref="P3:R3"/>
    <mergeCell ref="S3:V3"/>
    <mergeCell ref="W3:AD3"/>
    <mergeCell ref="W5:AD5"/>
    <mergeCell ref="P4:R4"/>
    <mergeCell ref="S4:V4"/>
    <mergeCell ref="W4:AD4"/>
    <mergeCell ref="B4:C4"/>
    <mergeCell ref="D4:O4"/>
    <mergeCell ref="D3:O3"/>
    <mergeCell ref="B14:AG15"/>
    <mergeCell ref="AE3:AF3"/>
    <mergeCell ref="AE4:AF4"/>
    <mergeCell ref="AG3:AJ3"/>
    <mergeCell ref="AG4:AJ4"/>
    <mergeCell ref="B9:J9"/>
    <mergeCell ref="K9:V9"/>
    <mergeCell ref="W9:AD9"/>
    <mergeCell ref="AE9:AK9"/>
    <mergeCell ref="B10:J10"/>
    <mergeCell ref="K10:V10"/>
    <mergeCell ref="W10:AD10"/>
    <mergeCell ref="AE10:AK10"/>
    <mergeCell ref="AH14:AK14"/>
    <mergeCell ref="B16:B17"/>
    <mergeCell ref="AH16:AH17"/>
    <mergeCell ref="AI16:AI17"/>
    <mergeCell ref="AJ16:AJ17"/>
    <mergeCell ref="AK16:AK17"/>
    <mergeCell ref="B20:B21"/>
    <mergeCell ref="AH20:AH21"/>
    <mergeCell ref="AI20:AI21"/>
    <mergeCell ref="AJ20:AJ21"/>
    <mergeCell ref="AK20:AK21"/>
    <mergeCell ref="B18:B19"/>
    <mergeCell ref="AH18:AH19"/>
    <mergeCell ref="AI18:AI19"/>
    <mergeCell ref="AJ18:AJ19"/>
    <mergeCell ref="AK18:AK19"/>
    <mergeCell ref="B24:B25"/>
    <mergeCell ref="AH24:AH25"/>
    <mergeCell ref="AI24:AI25"/>
    <mergeCell ref="AJ24:AJ25"/>
    <mergeCell ref="AK24:AK25"/>
    <mergeCell ref="B22:B23"/>
    <mergeCell ref="AH22:AH23"/>
    <mergeCell ref="AI22:AI23"/>
    <mergeCell ref="AJ22:AJ23"/>
    <mergeCell ref="AK22:AK23"/>
    <mergeCell ref="B28:B29"/>
    <mergeCell ref="AH28:AH29"/>
    <mergeCell ref="AI28:AI29"/>
    <mergeCell ref="AJ28:AJ29"/>
    <mergeCell ref="AK28:AK29"/>
    <mergeCell ref="B26:B27"/>
    <mergeCell ref="AH26:AH27"/>
    <mergeCell ref="AI26:AI27"/>
    <mergeCell ref="AJ26:AJ27"/>
    <mergeCell ref="AK26:AK27"/>
    <mergeCell ref="B32:B33"/>
    <mergeCell ref="AH32:AH33"/>
    <mergeCell ref="AI32:AI33"/>
    <mergeCell ref="AJ32:AJ33"/>
    <mergeCell ref="AK32:AK33"/>
    <mergeCell ref="B30:B31"/>
    <mergeCell ref="AH30:AH31"/>
    <mergeCell ref="AI30:AI31"/>
    <mergeCell ref="AJ30:AJ31"/>
    <mergeCell ref="AK30:AK31"/>
    <mergeCell ref="AK38:AK39"/>
    <mergeCell ref="AE40:AG40"/>
    <mergeCell ref="B34:B35"/>
    <mergeCell ref="AH34:AH35"/>
    <mergeCell ref="AI34:AI35"/>
    <mergeCell ref="AJ34:AJ35"/>
    <mergeCell ref="B38:B39"/>
    <mergeCell ref="AH38:AH39"/>
    <mergeCell ref="AI38:AI39"/>
    <mergeCell ref="AJ38:AJ39"/>
    <mergeCell ref="AK34:AK35"/>
    <mergeCell ref="B36:B37"/>
    <mergeCell ref="AH36:AH37"/>
    <mergeCell ref="AI36:AI37"/>
    <mergeCell ref="AJ36:AJ37"/>
    <mergeCell ref="AK36:AK37"/>
  </mergeCells>
  <phoneticPr fontId="44" type="noConversion"/>
  <conditionalFormatting sqref="C17:AG17 C21:AG21 C23:AF23 C25:AG25 C27:AG27 C31:AG31 C33:AF33 C35:AG35 C37:AG37 C39:AG39 C29:AG29 C19:AG19">
    <cfRule type="expression" dxfId="53" priority="150">
      <formula>C17=Code1</formula>
    </cfRule>
  </conditionalFormatting>
  <conditionalFormatting sqref="C17:AG17 C21:AG21 C23:AF23 C25:AG25 C27:AG27 C31:AG31 C33:AF33 C35:AG35 C37:AG37 C39:AG39 C29:AG29 C19:AG19">
    <cfRule type="expression" dxfId="52" priority="162">
      <formula>C17=Code2</formula>
    </cfRule>
  </conditionalFormatting>
  <conditionalFormatting sqref="C17:AG17 C21:AG21 C23:AF23 C25:AG25 C27:AG27 C31:AG31 C33:AF33 C35:AG35 C37:AG37 C39:AG39 C29:AG29 C19:AG19">
    <cfRule type="expression" dxfId="51" priority="174">
      <formula>C17=Code3</formula>
    </cfRule>
  </conditionalFormatting>
  <conditionalFormatting sqref="C17:AG17 C21:AG21 C23:AF23 C25:AG25 C27:AG27 C31:AG31 C33:AF33 C35:AG35 C37:AG37 C39:AG39 C29:AG29 C19:AG19">
    <cfRule type="expression" dxfId="50" priority="186">
      <formula>C17=Code4</formula>
    </cfRule>
  </conditionalFormatting>
  <conditionalFormatting sqref="C17:AG17 C21:AG21 C23:AF23 C25:AG25 C27:AG27 C31:AG31 C33:AF33 C35:AG35 C37:AG37 C39:AG39 C29:AG29 C19:AG19">
    <cfRule type="expression" dxfId="49" priority="199">
      <formula>C17=Code5</formula>
    </cfRule>
  </conditionalFormatting>
  <conditionalFormatting sqref="AE28">
    <cfRule type="expression" dxfId="48" priority="200">
      <formula>DATE(AnnéeCivile+1,2,AE28)&gt;EOMONTH(DATE(AnnéeCivile+1,1,1),1)</formula>
    </cfRule>
  </conditionalFormatting>
  <dataValidations count="2">
    <dataValidation type="list" errorStyle="warning" allowBlank="1" showInputMessage="1" showErrorMessage="1" errorTitle="Whoops!" error="In order to see attendance details for a specific student you need to select a Student ID# from the drop down list. You can click Yes to use your entry but the most of student details and attendance will be blank. " sqref="B4:C4">
      <formula1>IDÉtudiant</formula1>
    </dataValidation>
    <dataValidation allowBlank="1" showInputMessage="1" showErrorMessage="1" errorTitle="Unknown Student Name" error="Please select student from list. You can add or remove names from this list on the Student List worksheet." sqref="D4"/>
  </dataValidations>
  <printOptions horizontalCentered="1"/>
  <pageMargins left="0.25" right="0.25" top="0.75" bottom="0.75" header="0.3" footer="0.3"/>
  <pageSetup scale="84"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4" tint="-0.499984740745262"/>
    <pageSetUpPr fitToPage="1"/>
  </sheetPr>
  <dimension ref="A1:AN346"/>
  <sheetViews>
    <sheetView showGridLines="0" zoomScaleNormal="100" workbookViewId="0">
      <pane xSplit="3" ySplit="6" topLeftCell="D7" activePane="bottomRight" state="frozen"/>
      <selection pane="topRight"/>
      <selection pane="bottomLeft"/>
      <selection pane="bottomRight" activeCell="J18" sqref="J18"/>
    </sheetView>
  </sheetViews>
  <sheetFormatPr baseColWidth="10" defaultColWidth="9.140625" defaultRowHeight="15" customHeight="1"/>
  <cols>
    <col min="1" max="1" width="2.7109375" style="12" customWidth="1"/>
    <col min="2" max="2" width="10.85546875" style="12" customWidth="1"/>
    <col min="3" max="3" width="28.85546875" style="13" customWidth="1"/>
    <col min="4" max="34" width="5" style="11" customWidth="1"/>
    <col min="35" max="35" width="4.7109375" style="10" customWidth="1"/>
    <col min="36" max="36" width="4.7109375" style="11" customWidth="1"/>
    <col min="37" max="38" width="4.7109375" style="12" customWidth="1"/>
    <col min="39" max="39" width="17" style="12" customWidth="1"/>
    <col min="40" max="16384" width="9.140625" style="12"/>
  </cols>
  <sheetData>
    <row r="1" spans="1:40" s="1" customFormat="1" ht="42" customHeight="1">
      <c r="A1" s="102" t="s">
        <v>59</v>
      </c>
      <c r="B1" s="28"/>
      <c r="C1" s="28"/>
      <c r="D1" s="29"/>
      <c r="E1" s="29"/>
      <c r="F1" s="29"/>
      <c r="G1" s="29"/>
      <c r="H1" s="29"/>
      <c r="I1" s="29"/>
      <c r="J1" s="29"/>
      <c r="K1" s="29"/>
      <c r="L1" s="29"/>
      <c r="M1" s="29"/>
      <c r="N1" s="29"/>
      <c r="O1" s="29"/>
      <c r="P1" s="29"/>
      <c r="Q1" s="29"/>
      <c r="R1" s="29"/>
      <c r="S1" s="29"/>
      <c r="T1" s="29"/>
      <c r="U1" s="29"/>
      <c r="V1" s="29"/>
      <c r="W1" s="29"/>
      <c r="X1" s="29"/>
      <c r="Y1" s="29"/>
      <c r="Z1" s="29"/>
      <c r="AA1" s="29"/>
      <c r="AB1" s="29"/>
      <c r="AC1" s="28"/>
      <c r="AD1" s="28"/>
      <c r="AE1" s="28"/>
      <c r="AF1" s="28"/>
      <c r="AG1" s="30"/>
      <c r="AH1" s="28"/>
      <c r="AI1" s="28"/>
      <c r="AJ1" s="31"/>
      <c r="AK1" s="28"/>
      <c r="AL1" s="46" t="s">
        <v>52</v>
      </c>
      <c r="AM1" s="47">
        <v>2012</v>
      </c>
    </row>
    <row r="2" spans="1:40" customFormat="1" ht="13.5"/>
    <row r="3" spans="1:40" s="24" customFormat="1" ht="12.75" customHeight="1">
      <c r="C3" s="34" t="s">
        <v>75</v>
      </c>
      <c r="D3" s="40" t="s">
        <v>25</v>
      </c>
      <c r="E3" s="56" t="s">
        <v>53</v>
      </c>
      <c r="F3" s="48"/>
      <c r="H3" s="41" t="s">
        <v>26</v>
      </c>
      <c r="I3" s="45" t="s">
        <v>54</v>
      </c>
      <c r="L3" s="42" t="s">
        <v>81</v>
      </c>
      <c r="M3" s="45" t="s">
        <v>55</v>
      </c>
      <c r="P3" s="43" t="s">
        <v>21</v>
      </c>
      <c r="Q3" s="45" t="s">
        <v>56</v>
      </c>
      <c r="T3" s="44" t="s">
        <v>51</v>
      </c>
      <c r="U3" s="45" t="s">
        <v>57</v>
      </c>
      <c r="W3"/>
      <c r="X3"/>
      <c r="Y3"/>
      <c r="AD3" s="23"/>
      <c r="AE3" s="23"/>
      <c r="AH3" s="25"/>
      <c r="AI3" s="26"/>
      <c r="AK3" s="27"/>
    </row>
    <row r="4" spans="1:40" customFormat="1" ht="16.5" customHeight="1"/>
    <row r="5" spans="1:40" s="2" customFormat="1" ht="18" customHeight="1">
      <c r="B5" s="103">
        <f>DATE(AnnéeCivile,8,1)</f>
        <v>39660</v>
      </c>
      <c r="C5" s="49"/>
      <c r="D5" s="32"/>
      <c r="E5" s="110" t="s">
        <v>95</v>
      </c>
      <c r="F5" s="111" t="s">
        <v>96</v>
      </c>
      <c r="G5" s="112" t="s">
        <v>96</v>
      </c>
      <c r="H5" s="112" t="s">
        <v>96</v>
      </c>
      <c r="I5" s="112" t="s">
        <v>96</v>
      </c>
      <c r="J5" s="112" t="s">
        <v>97</v>
      </c>
      <c r="K5" s="112" t="s">
        <v>97</v>
      </c>
      <c r="L5" s="112" t="s">
        <v>97</v>
      </c>
      <c r="M5" s="112" t="s">
        <v>97</v>
      </c>
      <c r="N5" s="112" t="s">
        <v>98</v>
      </c>
      <c r="O5" s="112" t="s">
        <v>98</v>
      </c>
      <c r="P5" s="112" t="s">
        <v>98</v>
      </c>
      <c r="Q5" s="112" t="s">
        <v>99</v>
      </c>
      <c r="R5" s="112" t="s">
        <v>99</v>
      </c>
      <c r="S5" s="112" t="s">
        <v>99</v>
      </c>
      <c r="T5" s="112" t="s">
        <v>100</v>
      </c>
      <c r="U5" s="112" t="s">
        <v>100</v>
      </c>
      <c r="V5" s="112" t="s">
        <v>100</v>
      </c>
      <c r="W5" s="112" t="s">
        <v>100</v>
      </c>
      <c r="X5" s="112" t="s">
        <v>101</v>
      </c>
      <c r="Y5" s="112" t="s">
        <v>101</v>
      </c>
      <c r="Z5" s="112" t="s">
        <v>101</v>
      </c>
      <c r="AA5" s="112" t="s">
        <v>101</v>
      </c>
      <c r="AB5" s="112" t="s">
        <v>102</v>
      </c>
      <c r="AC5" s="112" t="s">
        <v>103</v>
      </c>
      <c r="AD5" s="112" t="s">
        <v>104</v>
      </c>
      <c r="AE5" s="112" t="s">
        <v>104</v>
      </c>
      <c r="AF5" s="112" t="s">
        <v>104</v>
      </c>
      <c r="AG5" s="112" t="s">
        <v>104</v>
      </c>
      <c r="AH5" s="112" t="s">
        <v>104</v>
      </c>
      <c r="AI5" s="190" t="s">
        <v>28</v>
      </c>
      <c r="AJ5" s="191"/>
      <c r="AK5" s="191"/>
      <c r="AL5" s="191"/>
      <c r="AM5" s="192"/>
    </row>
    <row r="6" spans="1:40" s="6" customFormat="1" ht="14.25" customHeight="1">
      <c r="B6" s="35" t="s">
        <v>23</v>
      </c>
      <c r="C6" s="36" t="s">
        <v>24</v>
      </c>
      <c r="D6" s="3" t="s">
        <v>114</v>
      </c>
      <c r="E6" s="3" t="s">
        <v>19</v>
      </c>
      <c r="F6" s="3" t="s">
        <v>2</v>
      </c>
      <c r="G6" s="3" t="s">
        <v>7</v>
      </c>
      <c r="H6" s="3" t="s">
        <v>13</v>
      </c>
      <c r="I6" s="3" t="s">
        <v>18</v>
      </c>
      <c r="J6" s="3" t="s">
        <v>1</v>
      </c>
      <c r="K6" s="3" t="s">
        <v>5</v>
      </c>
      <c r="L6" s="3" t="s">
        <v>11</v>
      </c>
      <c r="M6" s="3" t="s">
        <v>16</v>
      </c>
      <c r="N6" s="3" t="s">
        <v>8</v>
      </c>
      <c r="O6" s="3" t="s">
        <v>3</v>
      </c>
      <c r="P6" s="3" t="s">
        <v>9</v>
      </c>
      <c r="Q6" s="3" t="s">
        <v>6</v>
      </c>
      <c r="R6" s="3" t="s">
        <v>12</v>
      </c>
      <c r="S6" s="3" t="s">
        <v>17</v>
      </c>
      <c r="T6" s="3" t="s">
        <v>0</v>
      </c>
      <c r="U6" s="3" t="s">
        <v>4</v>
      </c>
      <c r="V6" s="3" t="s">
        <v>10</v>
      </c>
      <c r="W6" s="3" t="s">
        <v>15</v>
      </c>
      <c r="X6" s="3" t="s">
        <v>105</v>
      </c>
      <c r="Y6" s="3" t="s">
        <v>106</v>
      </c>
      <c r="Z6" s="3" t="s">
        <v>14</v>
      </c>
      <c r="AA6" s="3" t="s">
        <v>107</v>
      </c>
      <c r="AB6" s="3" t="s">
        <v>108</v>
      </c>
      <c r="AC6" s="3" t="s">
        <v>109</v>
      </c>
      <c r="AD6" s="3" t="s">
        <v>110</v>
      </c>
      <c r="AE6" s="3" t="s">
        <v>111</v>
      </c>
      <c r="AF6" s="3" t="s">
        <v>112</v>
      </c>
      <c r="AG6" s="3" t="s">
        <v>113</v>
      </c>
      <c r="AH6" s="3" t="s">
        <v>20</v>
      </c>
      <c r="AI6" s="81" t="s">
        <v>25</v>
      </c>
      <c r="AJ6" s="57" t="s">
        <v>26</v>
      </c>
      <c r="AK6" s="58" t="s">
        <v>81</v>
      </c>
      <c r="AL6" s="59" t="s">
        <v>21</v>
      </c>
      <c r="AM6" s="39" t="s">
        <v>27</v>
      </c>
      <c r="AN6" s="5"/>
    </row>
    <row r="7" spans="1:40" s="6" customFormat="1" ht="16.5" customHeight="1">
      <c r="B7" s="37" t="s">
        <v>60</v>
      </c>
      <c r="C7" t="str">
        <f>IFERROR(VLOOKUP(ParticipationAoût[[#This Row],[Référence]],ListeÉtudiants[],18,FALSE),"")</f>
        <v/>
      </c>
      <c r="D7" s="20" t="s">
        <v>21</v>
      </c>
      <c r="E7" s="20" t="s">
        <v>21</v>
      </c>
      <c r="F7" s="20" t="s">
        <v>25</v>
      </c>
      <c r="G7" s="20" t="s">
        <v>25</v>
      </c>
      <c r="H7" s="20" t="s">
        <v>21</v>
      </c>
      <c r="I7" s="20" t="s">
        <v>51</v>
      </c>
      <c r="J7" s="20" t="s">
        <v>51</v>
      </c>
      <c r="K7" s="20" t="s">
        <v>21</v>
      </c>
      <c r="L7" s="20" t="s">
        <v>21</v>
      </c>
      <c r="M7" s="20" t="s">
        <v>26</v>
      </c>
      <c r="N7" s="20" t="s">
        <v>21</v>
      </c>
      <c r="O7" s="20" t="s">
        <v>21</v>
      </c>
      <c r="P7" s="20" t="s">
        <v>51</v>
      </c>
      <c r="Q7" s="20" t="s">
        <v>51</v>
      </c>
      <c r="R7" s="20" t="s">
        <v>21</v>
      </c>
      <c r="S7" s="20" t="s">
        <v>21</v>
      </c>
      <c r="T7" s="20" t="s">
        <v>21</v>
      </c>
      <c r="U7" s="20" t="s">
        <v>21</v>
      </c>
      <c r="V7" s="20" t="s">
        <v>21</v>
      </c>
      <c r="W7" s="20" t="s">
        <v>51</v>
      </c>
      <c r="X7" s="20" t="s">
        <v>51</v>
      </c>
      <c r="Y7" s="20" t="s">
        <v>21</v>
      </c>
      <c r="Z7" s="20" t="s">
        <v>21</v>
      </c>
      <c r="AA7" s="20" t="s">
        <v>21</v>
      </c>
      <c r="AB7" s="20" t="s">
        <v>21</v>
      </c>
      <c r="AC7" s="20" t="s">
        <v>21</v>
      </c>
      <c r="AD7" s="20" t="s">
        <v>51</v>
      </c>
      <c r="AE7" s="20" t="s">
        <v>51</v>
      </c>
      <c r="AF7" s="20" t="s">
        <v>21</v>
      </c>
      <c r="AG7" s="20" t="s">
        <v>21</v>
      </c>
      <c r="AH7" s="20" t="s">
        <v>21</v>
      </c>
      <c r="AI7" s="7">
        <f>COUNTIF(ParticipationAoût[[#This Row],[Colonne1]:[30]],Code1)</f>
        <v>2</v>
      </c>
      <c r="AJ7" s="38">
        <f>COUNTIF(ParticipationAoût[[#This Row],[Colonne1]:[30]],Code2)</f>
        <v>1</v>
      </c>
      <c r="AK7" s="38">
        <f>COUNTIF(ParticipationAoût[[#This Row],[Colonne1]:[30]],Code3)</f>
        <v>0</v>
      </c>
      <c r="AL7" s="38">
        <f>COUNTIF(ParticipationAoût[[#This Row],[Colonne1]:[30]],Code4)</f>
        <v>20</v>
      </c>
      <c r="AM7" s="7">
        <f>SUM(ParticipationAoût[[#This Row],[E]:[N1]])</f>
        <v>1</v>
      </c>
      <c r="AN7" s="5"/>
    </row>
    <row r="8" spans="1:40" s="6" customFormat="1" ht="16.5" customHeight="1">
      <c r="B8" s="37" t="s">
        <v>61</v>
      </c>
      <c r="C8" t="str">
        <f>IFERROR(VLOOKUP(ParticipationAoût[[#This Row],[Référence]],ListeÉtudiants[],18,FALSE),"")</f>
        <v/>
      </c>
      <c r="D8" s="20" t="s">
        <v>21</v>
      </c>
      <c r="E8" s="20" t="s">
        <v>81</v>
      </c>
      <c r="F8" s="20" t="s">
        <v>21</v>
      </c>
      <c r="G8" s="20" t="s">
        <v>94</v>
      </c>
      <c r="H8" s="20" t="s">
        <v>21</v>
      </c>
      <c r="I8" s="20" t="s">
        <v>51</v>
      </c>
      <c r="J8" s="20" t="s">
        <v>51</v>
      </c>
      <c r="K8" s="20" t="s">
        <v>21</v>
      </c>
      <c r="L8" s="20" t="s">
        <v>26</v>
      </c>
      <c r="M8" s="20" t="s">
        <v>26</v>
      </c>
      <c r="N8" s="20" t="s">
        <v>26</v>
      </c>
      <c r="O8" s="20" t="s">
        <v>26</v>
      </c>
      <c r="P8" s="20" t="s">
        <v>51</v>
      </c>
      <c r="Q8" s="20" t="s">
        <v>51</v>
      </c>
      <c r="R8" s="20" t="s">
        <v>21</v>
      </c>
      <c r="S8" s="20" t="s">
        <v>21</v>
      </c>
      <c r="T8" s="20" t="s">
        <v>21</v>
      </c>
      <c r="U8" s="20" t="s">
        <v>21</v>
      </c>
      <c r="V8" s="20" t="s">
        <v>21</v>
      </c>
      <c r="W8" s="20" t="s">
        <v>51</v>
      </c>
      <c r="X8" s="20" t="s">
        <v>51</v>
      </c>
      <c r="Y8" s="20" t="s">
        <v>21</v>
      </c>
      <c r="Z8" s="20" t="s">
        <v>21</v>
      </c>
      <c r="AA8" s="20" t="s">
        <v>21</v>
      </c>
      <c r="AB8" s="20" t="s">
        <v>25</v>
      </c>
      <c r="AC8" s="20" t="s">
        <v>25</v>
      </c>
      <c r="AD8" s="20" t="s">
        <v>51</v>
      </c>
      <c r="AE8" s="20" t="s">
        <v>51</v>
      </c>
      <c r="AF8" s="20" t="s">
        <v>21</v>
      </c>
      <c r="AG8" s="20" t="s">
        <v>21</v>
      </c>
      <c r="AH8" s="20" t="s">
        <v>21</v>
      </c>
      <c r="AI8" s="7">
        <f>COUNTIF(ParticipationAoût[[#This Row],[Colonne1]:[30]],Code1)</f>
        <v>2</v>
      </c>
      <c r="AJ8" s="38">
        <f>COUNTIF(ParticipationAoût[[#This Row],[Colonne1]:[30]],Code2)</f>
        <v>4</v>
      </c>
      <c r="AK8" s="38">
        <f>COUNTIF(ParticipationAoût[[#This Row],[Colonne1]:[30]],Code3)</f>
        <v>2</v>
      </c>
      <c r="AL8" s="38">
        <f>COUNTIF(ParticipationAoût[[#This Row],[Colonne1]:[30]],Code4)</f>
        <v>15</v>
      </c>
      <c r="AM8" s="7">
        <f>SUM(ParticipationAoût[[#This Row],[E]:[N1]])</f>
        <v>6</v>
      </c>
      <c r="AN8" s="5"/>
    </row>
    <row r="9" spans="1:40" s="9" customFormat="1" ht="16.5" customHeight="1">
      <c r="B9" s="37" t="s">
        <v>62</v>
      </c>
      <c r="C9" t="str">
        <f>IFERROR(VLOOKUP(ParticipationAoût[[#This Row],[Référence]],ListeÉtudiants[],18,FALSE),"")</f>
        <v/>
      </c>
      <c r="D9" s="20" t="s">
        <v>21</v>
      </c>
      <c r="E9" s="20" t="s">
        <v>26</v>
      </c>
      <c r="F9" s="20" t="s">
        <v>120</v>
      </c>
      <c r="G9" s="20" t="s">
        <v>120</v>
      </c>
      <c r="H9" s="20" t="s">
        <v>21</v>
      </c>
      <c r="I9" s="20" t="s">
        <v>51</v>
      </c>
      <c r="J9" s="20" t="s">
        <v>51</v>
      </c>
      <c r="K9" s="20" t="s">
        <v>21</v>
      </c>
      <c r="L9" s="20" t="s">
        <v>21</v>
      </c>
      <c r="M9" s="20" t="s">
        <v>81</v>
      </c>
      <c r="N9" s="20" t="s">
        <v>21</v>
      </c>
      <c r="O9" s="20" t="s">
        <v>21</v>
      </c>
      <c r="P9" s="20" t="s">
        <v>51</v>
      </c>
      <c r="Q9" s="20" t="s">
        <v>51</v>
      </c>
      <c r="R9" s="20" t="s">
        <v>21</v>
      </c>
      <c r="S9" s="20" t="s">
        <v>21</v>
      </c>
      <c r="T9" s="20" t="s">
        <v>21</v>
      </c>
      <c r="U9" s="20" t="s">
        <v>21</v>
      </c>
      <c r="V9" s="20" t="s">
        <v>21</v>
      </c>
      <c r="W9" s="20" t="s">
        <v>51</v>
      </c>
      <c r="X9" s="20" t="s">
        <v>51</v>
      </c>
      <c r="Y9" s="20" t="s">
        <v>21</v>
      </c>
      <c r="Z9" s="20" t="s">
        <v>21</v>
      </c>
      <c r="AA9" s="20" t="s">
        <v>26</v>
      </c>
      <c r="AB9" s="20" t="s">
        <v>26</v>
      </c>
      <c r="AC9" s="20" t="s">
        <v>21</v>
      </c>
      <c r="AD9" s="20" t="s">
        <v>51</v>
      </c>
      <c r="AE9" s="20" t="s">
        <v>51</v>
      </c>
      <c r="AF9" s="20" t="s">
        <v>21</v>
      </c>
      <c r="AG9" s="20" t="s">
        <v>21</v>
      </c>
      <c r="AH9" s="20" t="s">
        <v>21</v>
      </c>
      <c r="AI9" s="7">
        <f>COUNTIF(ParticipationAoût[[#This Row],[Colonne1]:[30]],Code1)</f>
        <v>2</v>
      </c>
      <c r="AJ9" s="38">
        <f>COUNTIF(ParticipationAoût[[#This Row],[Colonne1]:[30]],Code2)</f>
        <v>3</v>
      </c>
      <c r="AK9" s="38">
        <f>COUNTIF(ParticipationAoût[[#This Row],[Colonne1]:[30]],Code3)</f>
        <v>1</v>
      </c>
      <c r="AL9" s="38">
        <f>COUNTIF(ParticipationAoût[[#This Row],[Colonne1]:[30]],Code4)</f>
        <v>17</v>
      </c>
      <c r="AM9" s="7">
        <f>SUM(ParticipationAoût[[#This Row],[E]:[N1]])</f>
        <v>4</v>
      </c>
      <c r="AN9" s="8"/>
    </row>
    <row r="10" spans="1:40" ht="16.5" customHeight="1">
      <c r="B10" s="37" t="s">
        <v>63</v>
      </c>
      <c r="C10" t="str">
        <f>IFERROR(VLOOKUP(ParticipationAoût[[#This Row],[Référence]],ListeÉtudiants[],18,FALSE),"")</f>
        <v/>
      </c>
      <c r="D10" s="20" t="s">
        <v>21</v>
      </c>
      <c r="E10" s="20" t="s">
        <v>21</v>
      </c>
      <c r="F10" s="20" t="s">
        <v>21</v>
      </c>
      <c r="G10" s="20" t="s">
        <v>21</v>
      </c>
      <c r="H10" s="20" t="s">
        <v>21</v>
      </c>
      <c r="I10" s="20" t="s">
        <v>51</v>
      </c>
      <c r="J10" s="20" t="s">
        <v>51</v>
      </c>
      <c r="K10" s="20" t="s">
        <v>21</v>
      </c>
      <c r="L10" s="20" t="s">
        <v>21</v>
      </c>
      <c r="M10" s="20" t="s">
        <v>21</v>
      </c>
      <c r="N10" s="20" t="s">
        <v>21</v>
      </c>
      <c r="O10" s="20" t="s">
        <v>21</v>
      </c>
      <c r="P10" s="20" t="s">
        <v>51</v>
      </c>
      <c r="Q10" s="20" t="s">
        <v>51</v>
      </c>
      <c r="R10" s="20" t="s">
        <v>21</v>
      </c>
      <c r="S10" s="20" t="s">
        <v>21</v>
      </c>
      <c r="T10" s="20" t="s">
        <v>21</v>
      </c>
      <c r="U10" s="20" t="s">
        <v>21</v>
      </c>
      <c r="V10" s="20" t="s">
        <v>21</v>
      </c>
      <c r="W10" s="20" t="s">
        <v>51</v>
      </c>
      <c r="X10" s="20" t="s">
        <v>51</v>
      </c>
      <c r="Y10" s="20" t="s">
        <v>21</v>
      </c>
      <c r="Z10" s="20" t="s">
        <v>81</v>
      </c>
      <c r="AA10" s="20" t="s">
        <v>21</v>
      </c>
      <c r="AB10" s="20" t="s">
        <v>21</v>
      </c>
      <c r="AC10" s="20" t="s">
        <v>26</v>
      </c>
      <c r="AD10" s="20" t="s">
        <v>51</v>
      </c>
      <c r="AE10" s="20" t="s">
        <v>51</v>
      </c>
      <c r="AF10" s="20" t="s">
        <v>21</v>
      </c>
      <c r="AG10" s="20" t="s">
        <v>26</v>
      </c>
      <c r="AH10" s="20" t="s">
        <v>21</v>
      </c>
      <c r="AI10" s="7">
        <f>COUNTIF(ParticipationAoût[[#This Row],[Colonne1]:[30]],Code1)</f>
        <v>0</v>
      </c>
      <c r="AJ10" s="38">
        <f>COUNTIF(ParticipationAoût[[#This Row],[Colonne1]:[30]],Code2)</f>
        <v>2</v>
      </c>
      <c r="AK10" s="38">
        <f>COUNTIF(ParticipationAoût[[#This Row],[Colonne1]:[30]],Code3)</f>
        <v>1</v>
      </c>
      <c r="AL10" s="38">
        <f>COUNTIF(ParticipationAoût[[#This Row],[Colonne1]:[30]],Code4)</f>
        <v>20</v>
      </c>
      <c r="AM10" s="7">
        <f>SUM(ParticipationAoût[[#This Row],[E]:[N1]])</f>
        <v>3</v>
      </c>
      <c r="AN10" s="11"/>
    </row>
    <row r="11" spans="1:40" ht="16.5" customHeight="1">
      <c r="B11" s="37" t="s">
        <v>64</v>
      </c>
      <c r="C11" t="str">
        <f>IFERROR(VLOOKUP(ParticipationAoût[[#This Row],[Référence]],ListeÉtudiants[],18,FALSE),"")</f>
        <v/>
      </c>
      <c r="D11" s="20" t="s">
        <v>21</v>
      </c>
      <c r="E11" s="20" t="s">
        <v>21</v>
      </c>
      <c r="F11" s="20" t="s">
        <v>21</v>
      </c>
      <c r="G11" s="20" t="s">
        <v>21</v>
      </c>
      <c r="H11" s="20" t="s">
        <v>21</v>
      </c>
      <c r="I11" s="20" t="s">
        <v>51</v>
      </c>
      <c r="J11" s="20" t="s">
        <v>51</v>
      </c>
      <c r="K11" s="20" t="s">
        <v>21</v>
      </c>
      <c r="L11" s="20" t="s">
        <v>21</v>
      </c>
      <c r="M11" s="20" t="s">
        <v>21</v>
      </c>
      <c r="N11" s="20" t="s">
        <v>21</v>
      </c>
      <c r="O11" s="20" t="s">
        <v>21</v>
      </c>
      <c r="P11" s="20" t="s">
        <v>51</v>
      </c>
      <c r="Q11" s="20" t="s">
        <v>51</v>
      </c>
      <c r="R11" s="20" t="s">
        <v>21</v>
      </c>
      <c r="S11" s="20" t="s">
        <v>21</v>
      </c>
      <c r="T11" s="20" t="s">
        <v>21</v>
      </c>
      <c r="U11" s="20" t="s">
        <v>21</v>
      </c>
      <c r="V11" s="20" t="s">
        <v>21</v>
      </c>
      <c r="W11" s="20" t="s">
        <v>51</v>
      </c>
      <c r="X11" s="20" t="s">
        <v>51</v>
      </c>
      <c r="Y11" s="20" t="s">
        <v>21</v>
      </c>
      <c r="Z11" s="20" t="s">
        <v>21</v>
      </c>
      <c r="AA11" s="20" t="s">
        <v>21</v>
      </c>
      <c r="AB11" s="20" t="s">
        <v>21</v>
      </c>
      <c r="AC11" s="20" t="s">
        <v>21</v>
      </c>
      <c r="AD11" s="20" t="s">
        <v>51</v>
      </c>
      <c r="AE11" s="20" t="s">
        <v>51</v>
      </c>
      <c r="AF11" s="20" t="s">
        <v>21</v>
      </c>
      <c r="AG11" s="20" t="s">
        <v>21</v>
      </c>
      <c r="AH11" s="20" t="s">
        <v>21</v>
      </c>
      <c r="AI11" s="7">
        <f>COUNTIF(ParticipationAoût[[#This Row],[Colonne1]:[30]],Code1)</f>
        <v>0</v>
      </c>
      <c r="AJ11" s="38">
        <f>COUNTIF(ParticipationAoût[[#This Row],[Colonne1]:[30]],Code2)</f>
        <v>0</v>
      </c>
      <c r="AK11" s="38">
        <f>COUNTIF(ParticipationAoût[[#This Row],[Colonne1]:[30]],Code3)</f>
        <v>0</v>
      </c>
      <c r="AL11" s="38">
        <f>COUNTIF(ParticipationAoût[[#This Row],[Colonne1]:[30]],Code4)</f>
        <v>23</v>
      </c>
      <c r="AM11" s="7">
        <f>SUM(ParticipationAoût[[#This Row],[E]:[N1]])</f>
        <v>0</v>
      </c>
      <c r="AN11" s="11"/>
    </row>
    <row r="12" spans="1:40" ht="16.5" customHeight="1">
      <c r="B12" s="104"/>
      <c r="C12" s="105" t="s">
        <v>78</v>
      </c>
      <c r="D12" s="107">
        <f>COUNTIF(ParticipationAoût[Colonne1],"N1")+COUNTIF(ParticipationAoût[Colonne1],"E")</f>
        <v>0</v>
      </c>
      <c r="E12" s="107">
        <f>COUNTIF(ParticipationAoût[29],"N1")+COUNTIF(ParticipationAoût[29],"E")</f>
        <v>2</v>
      </c>
      <c r="F12" s="107">
        <f>COUNTIF(ParticipationAoût[6],"N1")+COUNTIF(ParticipationAoût[6],"E")</f>
        <v>0</v>
      </c>
      <c r="G12" s="107">
        <f>COUNTIF(ParticipationAoût[13],"N1")+COUNTIF(ParticipationAoût[13],"E")</f>
        <v>1</v>
      </c>
      <c r="H12" s="107">
        <f>COUNTIF(ParticipationAoût[20],"N1")+COUNTIF(ParticipationAoût[20],"E")</f>
        <v>0</v>
      </c>
      <c r="I12" s="107">
        <f>COUNTIF(ParticipationAoût[27],"N1")+COUNTIF(ParticipationAoût[27],"E")</f>
        <v>0</v>
      </c>
      <c r="J12" s="107">
        <f>COUNTIF(ParticipationAoût[3],"N1")+COUNTIF(ParticipationAoût[3],"E")</f>
        <v>0</v>
      </c>
      <c r="K12" s="107">
        <f>COUNTIF(ParticipationAoût[10],"N1")+COUNTIF(ParticipationAoût[10],"E")</f>
        <v>0</v>
      </c>
      <c r="L12" s="107">
        <f>COUNTIF(ParticipationAoût[17],"N1")+COUNTIF(ParticipationAoût[17],"E")</f>
        <v>1</v>
      </c>
      <c r="M12" s="107">
        <f>COUNTIF(ParticipationAoût[24],"N1")+COUNTIF(ParticipationAoût[24],"E")</f>
        <v>3</v>
      </c>
      <c r="N12" s="107">
        <f>COUNTIF(ParticipationAoût[14],"N1")+COUNTIF(ParticipationAoût[14],"E")</f>
        <v>1</v>
      </c>
      <c r="O12" s="107">
        <f>COUNTIF(ParticipationAoût[8],"N1")+COUNTIF(ParticipationAoût[8],"E")</f>
        <v>1</v>
      </c>
      <c r="P12" s="107">
        <f>COUNTIF(ParticipationAoût[15],"N1")+COUNTIF(ParticipationAoût[15],"E")</f>
        <v>0</v>
      </c>
      <c r="Q12" s="107">
        <f>COUNTIF(ParticipationAoût[12],"N1")+COUNTIF(ParticipationAoût[12],"E")</f>
        <v>0</v>
      </c>
      <c r="R12" s="107">
        <f>COUNTIF(ParticipationAoût[19],"N1")+COUNTIF(ParticipationAoût[19],"E")</f>
        <v>0</v>
      </c>
      <c r="S12" s="107">
        <f>COUNTIF(ParticipationAoût[26],"N1")+COUNTIF(ParticipationAoût[26],"E")</f>
        <v>0</v>
      </c>
      <c r="T12" s="107">
        <f>COUNTIF(ParticipationAoût[2],"N1")+COUNTIF(ParticipationAoût[2],"E")</f>
        <v>0</v>
      </c>
      <c r="U12" s="107">
        <f>COUNTIF(ParticipationAoût[9],"N1")+COUNTIF(ParticipationAoût[9],"E")</f>
        <v>0</v>
      </c>
      <c r="V12" s="107">
        <f>COUNTIF(ParticipationAoût[16],"N1")+COUNTIF(ParticipationAoût[16],"E")</f>
        <v>0</v>
      </c>
      <c r="W12" s="107">
        <f>COUNTIF(ParticipationAoût[23],"N1")+COUNTIF(ParticipationAoût[23],"E")</f>
        <v>0</v>
      </c>
      <c r="X12" s="107">
        <f>COUNTIF(ParticipationAoût[*8],"N1")+COUNTIF(ParticipationAoût[*8],"E")</f>
        <v>0</v>
      </c>
      <c r="Y12" s="107">
        <f>COUNTIF(ParticipationAoût[*15],"N1")+COUNTIF(ParticipationAoût[*15],"E")</f>
        <v>0</v>
      </c>
      <c r="Z12" s="107">
        <f>COUNTIF(ParticipationAoût[22],"N1")+COUNTIF(ParticipationAoût[22],"E")</f>
        <v>1</v>
      </c>
      <c r="AA12" s="107">
        <f>COUNTIF(ParticipationAoût[*29],"N1")+COUNTIF(ParticipationAoût[*29],"E")</f>
        <v>1</v>
      </c>
      <c r="AB12" s="107">
        <f>COUNTIF(ParticipationAoût[*19],"N1")+COUNTIF(ParticipationAoût[*19],"E")</f>
        <v>1</v>
      </c>
      <c r="AC12" s="107">
        <f>COUNTIF(ParticipationAoût[*26],"N1")+COUNTIF(ParticipationAoût[*26],"E")</f>
        <v>1</v>
      </c>
      <c r="AD12" s="107">
        <f>COUNTIF(ParticipationAoût[*3],"N1")+COUNTIF(ParticipationAoût[*3],"E")</f>
        <v>0</v>
      </c>
      <c r="AE12" s="107">
        <f>COUNTIF(ParticipationAoût[*10],"N1")+COUNTIF(ParticipationAoût[*10],"E")</f>
        <v>0</v>
      </c>
      <c r="AF12" s="107">
        <f>COUNTIF(ParticipationAoût[*17],"N1")+COUNTIF(ParticipationAoût[*17],"E")</f>
        <v>0</v>
      </c>
      <c r="AG12" s="107">
        <f>COUNTIF(ParticipationAoût[*24],"N1")+COUNTIF(ParticipationAoût[*24],"E")</f>
        <v>1</v>
      </c>
      <c r="AH12" s="107">
        <f>COUNTIF(ParticipationAoût[30],"N1")+COUNTIF(ParticipationAoût[30],"E")</f>
        <v>0</v>
      </c>
      <c r="AI12" s="107">
        <f>SUBTOTAL(109,ParticipationAoût[R])</f>
        <v>6</v>
      </c>
      <c r="AJ12" s="107">
        <f>SUBTOTAL(109,ParticipationAoût[E])</f>
        <v>10</v>
      </c>
      <c r="AK12" s="107">
        <f>SUBTOTAL(109,ParticipationAoût[N1])</f>
        <v>4</v>
      </c>
      <c r="AL12" s="107">
        <f>SUBTOTAL(109,ParticipationAoût[P])</f>
        <v>95</v>
      </c>
      <c r="AM12" s="107">
        <f>SUBTOTAL(109,ParticipationAoût[Jours d’absence])</f>
        <v>14</v>
      </c>
    </row>
    <row r="13" spans="1:40" ht="16.5" customHeight="1">
      <c r="B13" s="3"/>
      <c r="C13" s="4"/>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row>
    <row r="14" spans="1:40" ht="16.5" customHeight="1"/>
    <row r="15" spans="1:40" ht="16.5" customHeight="1"/>
    <row r="16" spans="1:40"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sheetData>
  <sheetProtection formatCells="0" formatColumns="0" formatRows="0" insertColumns="0" insertRows="0" insertHyperlinks="0" deleteColumns="0" deleteRows="0" sort="0" autoFilter="0" pivotTables="0"/>
  <mergeCells count="1">
    <mergeCell ref="AI5:AM5"/>
  </mergeCells>
  <phoneticPr fontId="44" type="noConversion"/>
  <conditionalFormatting sqref="D7:AI11">
    <cfRule type="expression" dxfId="47" priority="137" stopIfTrue="1">
      <formula>D7=Code2</formula>
    </cfRule>
  </conditionalFormatting>
  <conditionalFormatting sqref="D7:AH11">
    <cfRule type="expression" dxfId="46" priority="146" stopIfTrue="1">
      <formula>D7=Code5</formula>
    </cfRule>
    <cfRule type="expression" dxfId="45" priority="147" stopIfTrue="1">
      <formula>D7=Code4</formula>
    </cfRule>
    <cfRule type="expression" dxfId="44" priority="148" stopIfTrue="1">
      <formula>D7=Code3</formula>
    </cfRule>
    <cfRule type="expression" dxfId="43" priority="149" stopIfTrue="1">
      <formula>D7=Code1</formula>
    </cfRule>
  </conditionalFormatting>
  <conditionalFormatting sqref="AM7:AM11">
    <cfRule type="dataBar" priority="202">
      <dataBar>
        <cfvo type="min"/>
        <cfvo type="num" val="31"/>
        <color theme="4"/>
      </dataBar>
      <extLst>
        <ext xmlns:x14="http://schemas.microsoft.com/office/spreadsheetml/2009/9/main" uri="{B025F937-C7B1-47D3-B67F-A62EFF666E3E}">
          <x14:id>{ECCE2C3C-1B01-4700-B60E-DAAAB19A9C1A}</x14:id>
        </ext>
      </extLst>
    </cfRule>
  </conditionalFormatting>
  <dataValidations count="1">
    <dataValidation type="list" errorStyle="warning" allowBlank="1" showInputMessage="1" showErrorMessage="1" errorTitle="Whoops!" error="The Student ID you entered isn't on the Student List sheet. You can click Yes to use what you entered but that Student ID won't be available on the Student Attendance Report sheet." sqref="B7:B11">
      <formula1>IDÉtudiant</formula1>
    </dataValidation>
  </dataValidations>
  <printOptions horizontalCentered="1"/>
  <pageMargins left="0.5" right="0.5" top="0.75" bottom="0.75" header="0.3" footer="0.3"/>
  <pageSetup scale="56" fitToHeight="0" orientation="landscape" verticalDpi="200"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Tourbillon 1">
              <controlPr defaultSize="0" print="0" autoPict="0" altText="Calendar Year Spinner. Click the spinner to change the school calendar year or type the year in cell AM.">
                <anchor moveWithCells="1" sizeWithCells="1">
                  <from>
                    <xdr:col>39</xdr:col>
                    <xdr:colOff>38100</xdr:colOff>
                    <xdr:row>0</xdr:row>
                    <xdr:rowOff>104775</xdr:rowOff>
                  </from>
                  <to>
                    <xdr:col>39</xdr:col>
                    <xdr:colOff>209550</xdr:colOff>
                    <xdr:row>0</xdr:row>
                    <xdr:rowOff>419100</xdr:rowOff>
                  </to>
                </anchor>
              </controlPr>
            </control>
          </mc:Choice>
        </mc:AlternateContent>
      </controls>
    </mc:Choice>
  </mc:AlternateContent>
  <tableParts count="1">
    <tablePart r:id="rId5"/>
  </tableParts>
  <extLst>
    <ext xmlns:x14="http://schemas.microsoft.com/office/spreadsheetml/2009/9/main" uri="{78C0D931-6437-407d-A8EE-F0AAD7539E65}">
      <x14:conditionalFormattings>
        <x14:conditionalFormatting xmlns:xm="http://schemas.microsoft.com/office/excel/2006/main">
          <x14:cfRule type="dataBar" id="{ECCE2C3C-1B01-4700-B60E-DAAAB19A9C1A}">
            <x14:dataBar minLength="0" maxLength="100" border="1" negativeBarBorderColorSameAsPositive="0">
              <x14:cfvo type="autoMin"/>
              <x14:cfvo type="num">
                <xm:f>31</xm:f>
              </x14:cfvo>
              <x14:borderColor theme="4"/>
              <x14:negativeFillColor rgb="FFFF0000"/>
              <x14:negativeBorderColor rgb="FFFF0000"/>
              <x14:axisColor rgb="FF000000"/>
            </x14:dataBar>
          </x14:cfRule>
          <xm:sqref>AM7:AM11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pageSetUpPr fitToPage="1"/>
  </sheetPr>
  <dimension ref="A1:L243"/>
  <sheetViews>
    <sheetView showGridLines="0" zoomScaleNormal="100" workbookViewId="0">
      <pane xSplit="2" ySplit="3" topLeftCell="C28" activePane="bottomRight" state="frozen"/>
      <selection pane="topRight" activeCell="C1" sqref="C1"/>
      <selection pane="bottomLeft" activeCell="A4" sqref="A4"/>
      <selection pane="bottomRight" activeCell="H38" sqref="H38"/>
    </sheetView>
  </sheetViews>
  <sheetFormatPr baseColWidth="10" defaultColWidth="9.140625" defaultRowHeight="13.5"/>
  <cols>
    <col min="1" max="1" width="2.7109375" customWidth="1"/>
    <col min="2" max="2" width="21.28515625" customWidth="1"/>
    <col min="3" max="3" width="35.140625" customWidth="1"/>
    <col min="4" max="4" width="18.5703125" customWidth="1"/>
    <col min="5" max="5" width="27.7109375" customWidth="1"/>
    <col min="6" max="6" width="13.5703125" customWidth="1"/>
    <col min="7" max="7" width="31.42578125" customWidth="1"/>
    <col min="8" max="8" width="26.85546875" customWidth="1"/>
    <col min="9" max="9" width="24.42578125" customWidth="1"/>
    <col min="10" max="10" width="15.28515625" customWidth="1"/>
    <col min="11" max="11" width="13.28515625" customWidth="1"/>
    <col min="12" max="12" width="26.85546875" customWidth="1"/>
  </cols>
  <sheetData>
    <row r="1" spans="1:12" ht="42" customHeight="1">
      <c r="A1" s="86" t="s">
        <v>455</v>
      </c>
      <c r="B1" s="72"/>
      <c r="C1" s="33"/>
      <c r="D1" s="72"/>
      <c r="E1" s="72"/>
      <c r="F1" s="72"/>
      <c r="G1" s="72"/>
      <c r="H1" s="72"/>
      <c r="I1" s="72"/>
      <c r="J1" s="72"/>
      <c r="K1" s="72"/>
      <c r="L1" s="72"/>
    </row>
    <row r="3" spans="1:12" s="15" customFormat="1" ht="42" customHeight="1">
      <c r="B3" s="74" t="s">
        <v>450</v>
      </c>
      <c r="C3" s="73" t="s">
        <v>92</v>
      </c>
      <c r="D3" s="74" t="s">
        <v>451</v>
      </c>
      <c r="E3" s="73" t="s">
        <v>452</v>
      </c>
      <c r="F3" s="73" t="s">
        <v>29</v>
      </c>
      <c r="G3" s="73" t="s">
        <v>456</v>
      </c>
      <c r="H3" s="73" t="s">
        <v>457</v>
      </c>
      <c r="I3" s="73" t="s">
        <v>458</v>
      </c>
      <c r="J3" s="73" t="s">
        <v>459</v>
      </c>
      <c r="K3" s="73" t="s">
        <v>460</v>
      </c>
      <c r="L3" s="73" t="s">
        <v>461</v>
      </c>
    </row>
    <row r="4" spans="1:12" s="15" customFormat="1" ht="42" customHeight="1">
      <c r="B4" t="s">
        <v>392</v>
      </c>
      <c r="C4" s="134" t="str">
        <f>ListeÉtudiants[[#This Row],[Apellido]]&amp;" " &amp;ListeÉtudiants[[#This Row],[Nombre]]</f>
        <v>Sarmiento Casas Maria Camila</v>
      </c>
      <c r="D4" s="135" t="s">
        <v>393</v>
      </c>
      <c r="E4" s="136" t="s">
        <v>394</v>
      </c>
      <c r="F4" s="136">
        <v>38384</v>
      </c>
      <c r="G4" s="115" t="s">
        <v>395</v>
      </c>
      <c r="H4" s="14" t="s">
        <v>396</v>
      </c>
      <c r="I4" s="19" t="s">
        <v>397</v>
      </c>
      <c r="J4" s="19" t="s">
        <v>398</v>
      </c>
      <c r="K4" s="17"/>
      <c r="L4"/>
    </row>
    <row r="5" spans="1:12" ht="15.75" customHeight="1">
      <c r="B5" t="s">
        <v>392</v>
      </c>
      <c r="C5" s="134" t="str">
        <f>ListeÉtudiants[[#This Row],[Apellido]]&amp;" " &amp;ListeÉtudiants[[#This Row],[Nombre]]</f>
        <v>Sarmiento Casas Valentina</v>
      </c>
      <c r="D5" s="135" t="s">
        <v>399</v>
      </c>
      <c r="E5" s="136" t="s">
        <v>394</v>
      </c>
      <c r="F5" s="136">
        <v>38995</v>
      </c>
      <c r="G5" s="115" t="s">
        <v>395</v>
      </c>
      <c r="H5" s="14" t="s">
        <v>396</v>
      </c>
      <c r="I5" s="19" t="s">
        <v>397</v>
      </c>
      <c r="J5" s="19" t="s">
        <v>398</v>
      </c>
      <c r="K5" s="17"/>
    </row>
    <row r="6" spans="1:12" ht="15.75" customHeight="1">
      <c r="B6" t="s">
        <v>453</v>
      </c>
      <c r="C6" s="134" t="str">
        <f>ListeÉtudiants[[#This Row],[Apellido]]&amp;" " &amp;ListeÉtudiants[[#This Row],[Nombre]]</f>
        <v>Boutin Matéo</v>
      </c>
      <c r="D6" s="135" t="s">
        <v>142</v>
      </c>
      <c r="E6" s="136" t="s">
        <v>143</v>
      </c>
      <c r="F6" s="136">
        <v>38883</v>
      </c>
      <c r="G6" s="14" t="s">
        <v>144</v>
      </c>
      <c r="H6" s="14" t="s">
        <v>145</v>
      </c>
      <c r="I6" s="19" t="s">
        <v>146</v>
      </c>
      <c r="J6" s="19">
        <v>5146548661</v>
      </c>
      <c r="K6" s="17" t="s">
        <v>147</v>
      </c>
      <c r="L6" t="s">
        <v>148</v>
      </c>
    </row>
    <row r="7" spans="1:12" ht="15.75" customHeight="1">
      <c r="B7" t="s">
        <v>453</v>
      </c>
      <c r="C7" s="134" t="str">
        <f>ListeÉtudiants[[#This Row],[Apellido]]&amp;" " &amp;ListeÉtudiants[[#This Row],[Nombre]]</f>
        <v>Dansereau Joliana</v>
      </c>
      <c r="D7" s="135" t="s">
        <v>191</v>
      </c>
      <c r="E7" s="136" t="s">
        <v>192</v>
      </c>
      <c r="F7" s="136">
        <v>38960</v>
      </c>
      <c r="G7" s="14" t="s">
        <v>193</v>
      </c>
      <c r="H7" s="14" t="s">
        <v>194</v>
      </c>
      <c r="I7" s="19"/>
      <c r="J7" s="19" t="s">
        <v>195</v>
      </c>
      <c r="K7" s="17"/>
    </row>
    <row r="8" spans="1:12" ht="15.75" customHeight="1">
      <c r="B8" t="s">
        <v>453</v>
      </c>
      <c r="C8" s="134" t="str">
        <f>ListeÉtudiants[[#This Row],[Apellido]]&amp;" " &amp;ListeÉtudiants[[#This Row],[Nombre]]</f>
        <v>Gómez Hernández Sinai del Rosario</v>
      </c>
      <c r="D8" s="135" t="s">
        <v>241</v>
      </c>
      <c r="E8" s="136" t="s">
        <v>237</v>
      </c>
      <c r="F8" s="136">
        <v>38853</v>
      </c>
      <c r="G8" s="14" t="s">
        <v>238</v>
      </c>
      <c r="H8" s="14" t="s">
        <v>239</v>
      </c>
      <c r="I8" s="19"/>
      <c r="J8" s="19" t="s">
        <v>242</v>
      </c>
      <c r="K8" s="17"/>
    </row>
    <row r="9" spans="1:12" ht="15.75" customHeight="1">
      <c r="B9" t="s">
        <v>453</v>
      </c>
      <c r="C9" s="134" t="str">
        <f>ListeÉtudiants[[#This Row],[Apellido]]&amp;" " &amp;ListeÉtudiants[[#This Row],[Nombre]]</f>
        <v>MUNOZ MORA  DEREK</v>
      </c>
      <c r="D9" s="135" t="s">
        <v>346</v>
      </c>
      <c r="E9" s="136" t="s">
        <v>347</v>
      </c>
      <c r="F9" s="136">
        <v>38629</v>
      </c>
      <c r="G9" s="14" t="s">
        <v>348</v>
      </c>
      <c r="H9" s="14" t="s">
        <v>349</v>
      </c>
      <c r="I9" s="19" t="s">
        <v>350</v>
      </c>
      <c r="J9" s="19">
        <v>4384036454</v>
      </c>
      <c r="K9" s="17">
        <v>4384036404</v>
      </c>
      <c r="L9" t="s">
        <v>351</v>
      </c>
    </row>
    <row r="10" spans="1:12" ht="15.75" customHeight="1">
      <c r="B10" t="s">
        <v>453</v>
      </c>
      <c r="C10" s="134" t="str">
        <f>ListeÉtudiants[[#This Row],[Apellido]]&amp;" " &amp;ListeÉtudiants[[#This Row],[Nombre]]</f>
        <v>Narvaez Emes Jeshua Alexander</v>
      </c>
      <c r="D10" s="135" t="s">
        <v>353</v>
      </c>
      <c r="E10" s="136" t="s">
        <v>354</v>
      </c>
      <c r="F10" s="136">
        <v>38485</v>
      </c>
      <c r="G10" s="14" t="s">
        <v>355</v>
      </c>
      <c r="H10" s="14" t="s">
        <v>356</v>
      </c>
      <c r="I10" s="19" t="s">
        <v>357</v>
      </c>
      <c r="J10" s="19" t="s">
        <v>358</v>
      </c>
      <c r="K10" s="17" t="s">
        <v>358</v>
      </c>
      <c r="L10" t="s">
        <v>359</v>
      </c>
    </row>
    <row r="11" spans="1:12" ht="15.75" customHeight="1">
      <c r="B11" t="s">
        <v>235</v>
      </c>
      <c r="C11" s="134" t="str">
        <f>ListeÉtudiants[[#This Row],[Apellido]]&amp;" " &amp;ListeÉtudiants[[#This Row],[Nombre]]</f>
        <v>Gómez Hernández Camilo Emanuel</v>
      </c>
      <c r="D11" s="135" t="s">
        <v>236</v>
      </c>
      <c r="E11" s="136" t="s">
        <v>237</v>
      </c>
      <c r="F11" s="136">
        <v>39642</v>
      </c>
      <c r="G11" s="14" t="s">
        <v>238</v>
      </c>
      <c r="H11" s="14" t="s">
        <v>239</v>
      </c>
      <c r="I11" s="19"/>
      <c r="J11" s="19" t="s">
        <v>240</v>
      </c>
      <c r="K11" s="17"/>
    </row>
    <row r="12" spans="1:12" ht="15.75" customHeight="1">
      <c r="B12" t="s">
        <v>235</v>
      </c>
      <c r="C12" s="134" t="str">
        <f>ListeÉtudiants[[#This Row],[Apellido]]&amp;" " &amp;ListeÉtudiants[[#This Row],[Nombre]]</f>
        <v>Hidalgo ushinahua Keyliana</v>
      </c>
      <c r="D12" s="135" t="s">
        <v>264</v>
      </c>
      <c r="E12" s="136" t="s">
        <v>259</v>
      </c>
      <c r="F12" s="136">
        <v>40136</v>
      </c>
      <c r="G12" s="14" t="s">
        <v>260</v>
      </c>
      <c r="H12" s="14" t="s">
        <v>265</v>
      </c>
      <c r="I12" s="19" t="s">
        <v>266</v>
      </c>
      <c r="J12" s="19" t="s">
        <v>267</v>
      </c>
      <c r="K12" s="17">
        <v>5147099624</v>
      </c>
      <c r="L12" t="s">
        <v>263</v>
      </c>
    </row>
    <row r="13" spans="1:12" ht="15.75" customHeight="1">
      <c r="B13" t="s">
        <v>479</v>
      </c>
      <c r="C13" s="134" t="str">
        <f>ListeÉtudiants[[#This Row],[Apellido]]&amp;" " &amp;ListeÉtudiants[[#This Row],[Nombre]]</f>
        <v>Ambrosio Iker</v>
      </c>
      <c r="D13" s="135" t="s">
        <v>124</v>
      </c>
      <c r="E13" s="136" t="s">
        <v>125</v>
      </c>
      <c r="F13" s="136">
        <v>39641</v>
      </c>
      <c r="G13" s="115" t="s">
        <v>126</v>
      </c>
      <c r="H13" s="14" t="s">
        <v>124</v>
      </c>
      <c r="I13" s="19"/>
      <c r="J13" s="19" t="s">
        <v>127</v>
      </c>
      <c r="K13" s="17"/>
    </row>
    <row r="14" spans="1:12" ht="15.75" customHeight="1">
      <c r="B14" t="s">
        <v>479</v>
      </c>
      <c r="C14" s="134" t="str">
        <f>ListeÉtudiants[[#This Row],[Apellido]]&amp;" " &amp;ListeÉtudiants[[#This Row],[Nombre]]</f>
        <v xml:space="preserve">Cruz Hernandez Roberto </v>
      </c>
      <c r="D14" s="135" t="s">
        <v>174</v>
      </c>
      <c r="E14" s="136" t="s">
        <v>175</v>
      </c>
      <c r="F14" s="136">
        <v>40075</v>
      </c>
      <c r="G14" s="14" t="s">
        <v>176</v>
      </c>
      <c r="H14" s="14" t="s">
        <v>177</v>
      </c>
      <c r="I14" s="19" t="s">
        <v>178</v>
      </c>
      <c r="J14" s="19">
        <v>5142090198</v>
      </c>
      <c r="K14" s="17"/>
    </row>
    <row r="15" spans="1:12" ht="15.75" customHeight="1">
      <c r="B15" t="s">
        <v>479</v>
      </c>
      <c r="C15" s="134" t="str">
        <f>ListeÉtudiants[[#This Row],[Apellido]]&amp;" " &amp;ListeÉtudiants[[#This Row],[Nombre]]</f>
        <v>Cuadra Brito Lluvia Itzayana</v>
      </c>
      <c r="D15" s="135" t="s">
        <v>182</v>
      </c>
      <c r="E15" s="136" t="s">
        <v>183</v>
      </c>
      <c r="F15" s="136">
        <v>39691</v>
      </c>
      <c r="G15" s="14"/>
      <c r="H15" s="14" t="s">
        <v>184</v>
      </c>
      <c r="I15" s="19"/>
      <c r="J15" s="19"/>
      <c r="K15" s="17"/>
    </row>
    <row r="16" spans="1:12" ht="15.75" customHeight="1">
      <c r="B16" t="s">
        <v>479</v>
      </c>
      <c r="C16" s="134" t="str">
        <f>ListeÉtudiants[[#This Row],[Apellido]]&amp;" " &amp;ListeÉtudiants[[#This Row],[Nombre]]</f>
        <v>Curay Adriana</v>
      </c>
      <c r="D16" s="135" t="s">
        <v>185</v>
      </c>
      <c r="E16" s="136" t="s">
        <v>186</v>
      </c>
      <c r="F16" s="136">
        <v>40112</v>
      </c>
      <c r="G16" s="14" t="s">
        <v>187</v>
      </c>
      <c r="H16" s="14" t="s">
        <v>188</v>
      </c>
      <c r="I16" s="19" t="s">
        <v>189</v>
      </c>
      <c r="J16" s="19" t="s">
        <v>190</v>
      </c>
      <c r="K16" s="17"/>
    </row>
    <row r="17" spans="1:12" ht="15.75" customHeight="1">
      <c r="A17">
        <v>1</v>
      </c>
      <c r="B17" t="s">
        <v>479</v>
      </c>
      <c r="C17" s="134" t="str">
        <f>ListeÉtudiants[[#This Row],[Apellido]]&amp;" " &amp;ListeÉtudiants[[#This Row],[Nombre]]</f>
        <v>Esquivel Medina Luis David</v>
      </c>
      <c r="D17" s="135" t="s">
        <v>205</v>
      </c>
      <c r="E17" s="136" t="s">
        <v>206</v>
      </c>
      <c r="F17" s="136">
        <v>39451</v>
      </c>
      <c r="G17" s="14" t="s">
        <v>207</v>
      </c>
      <c r="H17" s="14" t="s">
        <v>208</v>
      </c>
      <c r="I17" s="19" t="s">
        <v>209</v>
      </c>
      <c r="J17" s="19">
        <v>5147222789</v>
      </c>
      <c r="K17" s="17" t="s">
        <v>210</v>
      </c>
      <c r="L17" t="s">
        <v>211</v>
      </c>
    </row>
    <row r="18" spans="1:12" ht="15.75" customHeight="1">
      <c r="A18">
        <f>1+A17</f>
        <v>2</v>
      </c>
      <c r="B18" t="s">
        <v>479</v>
      </c>
      <c r="C18" s="134" t="str">
        <f>ListeÉtudiants[[#This Row],[Apellido]]&amp;" " &amp;ListeÉtudiants[[#This Row],[Nombre]]</f>
        <v xml:space="preserve">Gómez  Camilo </v>
      </c>
      <c r="D18" s="135" t="s">
        <v>232</v>
      </c>
      <c r="E18" s="136" t="s">
        <v>233</v>
      </c>
      <c r="F18" s="136">
        <v>39642</v>
      </c>
      <c r="G18" s="14" t="s">
        <v>238</v>
      </c>
      <c r="H18" s="14" t="s">
        <v>234</v>
      </c>
      <c r="I18" s="19"/>
      <c r="J18" s="19">
        <v>4389857601</v>
      </c>
      <c r="K18" s="17"/>
    </row>
    <row r="19" spans="1:12" ht="15.75" customHeight="1">
      <c r="A19">
        <f t="shared" ref="A19:A58" si="0">1+A18</f>
        <v>3</v>
      </c>
      <c r="B19" t="s">
        <v>479</v>
      </c>
      <c r="C19" s="134" t="str">
        <f>ListeÉtudiants[[#This Row],[Apellido]]&amp;" " &amp;ListeÉtudiants[[#This Row],[Nombre]]</f>
        <v>MUNOZ MORA RUT YILANA</v>
      </c>
      <c r="D19" s="135" t="s">
        <v>352</v>
      </c>
      <c r="E19" s="136" t="s">
        <v>347</v>
      </c>
      <c r="F19" s="136">
        <v>39724</v>
      </c>
      <c r="G19" s="14" t="s">
        <v>348</v>
      </c>
      <c r="H19" s="14" t="s">
        <v>349</v>
      </c>
      <c r="I19" s="19" t="s">
        <v>350</v>
      </c>
      <c r="J19" s="19">
        <v>4384036454</v>
      </c>
      <c r="K19" s="17">
        <v>4384036404</v>
      </c>
      <c r="L19" t="s">
        <v>351</v>
      </c>
    </row>
    <row r="20" spans="1:12" ht="15.75" customHeight="1">
      <c r="A20">
        <f t="shared" si="0"/>
        <v>4</v>
      </c>
      <c r="B20" s="14" t="s">
        <v>479</v>
      </c>
      <c r="C20" s="160" t="s">
        <v>582</v>
      </c>
      <c r="D20" s="135" t="s">
        <v>577</v>
      </c>
      <c r="E20" s="136" t="s">
        <v>578</v>
      </c>
      <c r="F20" s="136">
        <v>40026</v>
      </c>
      <c r="G20" s="135" t="s">
        <v>579</v>
      </c>
      <c r="H20" s="135" t="s">
        <v>580</v>
      </c>
      <c r="I20" s="168" t="s">
        <v>581</v>
      </c>
      <c r="J20" s="184">
        <v>4388781827</v>
      </c>
      <c r="K20" s="160"/>
      <c r="L20" s="17"/>
    </row>
    <row r="21" spans="1:12" ht="15.75" customHeight="1">
      <c r="A21">
        <f t="shared" si="0"/>
        <v>5</v>
      </c>
      <c r="B21" t="s">
        <v>479</v>
      </c>
      <c r="C21" s="134" t="str">
        <f>ListeÉtudiants[[#This Row],[Apellido]]&amp;" " &amp;ListeÉtudiants[[#This Row],[Nombre]]</f>
        <v>Serrano Jimenez Lea del Carmen</v>
      </c>
      <c r="D21" s="135" t="s">
        <v>400</v>
      </c>
      <c r="E21" s="136" t="s">
        <v>401</v>
      </c>
      <c r="F21" s="136">
        <v>39535</v>
      </c>
      <c r="G21" s="14" t="s">
        <v>402</v>
      </c>
      <c r="H21" s="14" t="s">
        <v>403</v>
      </c>
      <c r="I21" s="19" t="s">
        <v>404</v>
      </c>
      <c r="J21" s="19" t="s">
        <v>405</v>
      </c>
      <c r="K21" s="17"/>
    </row>
    <row r="22" spans="1:12" ht="15.75" customHeight="1">
      <c r="A22">
        <f t="shared" si="0"/>
        <v>6</v>
      </c>
      <c r="B22" t="s">
        <v>465</v>
      </c>
      <c r="C22" s="134" t="str">
        <f>ListeÉtudiants[[#This Row],[Apellido]]&amp;" " &amp;ListeÉtudiants[[#This Row],[Nombre]]</f>
        <v>Esturain Hernandez Daphnie</v>
      </c>
      <c r="D22" s="135" t="s">
        <v>216</v>
      </c>
      <c r="E22" s="136" t="s">
        <v>217</v>
      </c>
      <c r="F22" s="136">
        <v>34271</v>
      </c>
      <c r="G22" s="14" t="s">
        <v>218</v>
      </c>
      <c r="H22" s="14" t="s">
        <v>219</v>
      </c>
      <c r="I22" s="19"/>
      <c r="J22" s="19">
        <v>5145468045</v>
      </c>
      <c r="K22" s="17"/>
    </row>
    <row r="23" spans="1:12" ht="15.75" customHeight="1">
      <c r="A23">
        <f t="shared" si="0"/>
        <v>7</v>
      </c>
      <c r="B23" t="s">
        <v>465</v>
      </c>
      <c r="C23" s="134" t="str">
        <f>ListeÉtudiants[[#This Row],[Apellido]]&amp;" " &amp;ListeÉtudiants[[#This Row],[Nombre]]</f>
        <v>Esturain Hernandez Tiffanie</v>
      </c>
      <c r="D23" s="135" t="s">
        <v>220</v>
      </c>
      <c r="E23" s="136" t="s">
        <v>217</v>
      </c>
      <c r="F23" s="136">
        <v>32645</v>
      </c>
      <c r="G23" s="14" t="s">
        <v>221</v>
      </c>
      <c r="H23" s="14" t="s">
        <v>219</v>
      </c>
      <c r="I23" s="19"/>
      <c r="J23" s="19" t="s">
        <v>222</v>
      </c>
      <c r="K23" s="17"/>
    </row>
    <row r="24" spans="1:12" ht="15.75" customHeight="1">
      <c r="A24">
        <f t="shared" si="0"/>
        <v>8</v>
      </c>
      <c r="B24" t="s">
        <v>465</v>
      </c>
      <c r="C24" s="134" t="str">
        <f>ListeÉtudiants[[#This Row],[Apellido]]&amp;" " &amp;ListeÉtudiants[[#This Row],[Nombre]]</f>
        <v>García Martinez Rafael Fernando</v>
      </c>
      <c r="D24" s="135" t="s">
        <v>228</v>
      </c>
      <c r="E24" s="136" t="s">
        <v>229</v>
      </c>
      <c r="F24" s="136">
        <v>29605</v>
      </c>
      <c r="G24" s="14" t="s">
        <v>230</v>
      </c>
      <c r="H24" s="14" t="s">
        <v>231</v>
      </c>
      <c r="I24" s="19"/>
      <c r="J24" s="19">
        <v>4388820138</v>
      </c>
      <c r="K24" s="17"/>
    </row>
    <row r="25" spans="1:12" ht="15.75" customHeight="1">
      <c r="A25">
        <f t="shared" si="0"/>
        <v>9</v>
      </c>
      <c r="B25" t="s">
        <v>465</v>
      </c>
      <c r="C25" s="160" t="s">
        <v>562</v>
      </c>
      <c r="D25" s="135" t="s">
        <v>561</v>
      </c>
      <c r="E25" s="136" t="s">
        <v>564</v>
      </c>
      <c r="F25" s="136">
        <v>25327</v>
      </c>
      <c r="G25" s="14" t="s">
        <v>563</v>
      </c>
      <c r="H25" s="14"/>
      <c r="I25" s="19"/>
      <c r="J25" s="19">
        <v>5144638291</v>
      </c>
      <c r="K25" s="17"/>
      <c r="L25" s="17"/>
    </row>
    <row r="26" spans="1:12" ht="15.75" customHeight="1">
      <c r="A26">
        <f t="shared" si="0"/>
        <v>10</v>
      </c>
      <c r="B26" t="s">
        <v>465</v>
      </c>
      <c r="C26" s="134" t="str">
        <f>ListeÉtudiants[[#This Row],[Apellido]]&amp;" " &amp;ListeÉtudiants[[#This Row],[Nombre]]</f>
        <v>Lagos Arciniegas  Edgar Alveiro</v>
      </c>
      <c r="D26" s="135" t="s">
        <v>281</v>
      </c>
      <c r="E26" s="136" t="s">
        <v>282</v>
      </c>
      <c r="F26" s="136">
        <v>30853</v>
      </c>
      <c r="G26" s="14" t="s">
        <v>283</v>
      </c>
      <c r="H26" s="14" t="s">
        <v>284</v>
      </c>
      <c r="I26" s="19"/>
      <c r="J26" s="19">
        <v>5149294051</v>
      </c>
      <c r="K26" s="17"/>
    </row>
    <row r="27" spans="1:12" ht="15.75" customHeight="1">
      <c r="A27">
        <f t="shared" si="0"/>
        <v>11</v>
      </c>
      <c r="B27" t="s">
        <v>465</v>
      </c>
      <c r="C27" s="134" t="str">
        <f>ListeÉtudiants[[#This Row],[Apellido]]&amp;" " &amp;ListeÉtudiants[[#This Row],[Nombre]]</f>
        <v>Lopez Sandra</v>
      </c>
      <c r="D27" s="135" t="s">
        <v>292</v>
      </c>
      <c r="E27" s="136" t="s">
        <v>293</v>
      </c>
      <c r="F27" s="136">
        <v>27614</v>
      </c>
      <c r="G27" s="14" t="s">
        <v>294</v>
      </c>
      <c r="H27" s="14" t="s">
        <v>295</v>
      </c>
      <c r="I27" s="19" t="s">
        <v>296</v>
      </c>
      <c r="J27" s="19">
        <v>5146569079</v>
      </c>
      <c r="K27" s="17"/>
    </row>
    <row r="28" spans="1:12" ht="15.75" customHeight="1">
      <c r="A28">
        <f t="shared" si="0"/>
        <v>12</v>
      </c>
      <c r="B28" t="s">
        <v>465</v>
      </c>
      <c r="C28" s="134" t="str">
        <f>ListeÉtudiants[[#This Row],[Apellido]]&amp;" " &amp;ListeÉtudiants[[#This Row],[Nombre]]</f>
        <v>Montufar Susana</v>
      </c>
      <c r="D28" s="135" t="s">
        <v>327</v>
      </c>
      <c r="E28" s="136" t="s">
        <v>325</v>
      </c>
      <c r="F28" s="136">
        <v>32287</v>
      </c>
      <c r="G28" s="14" t="s">
        <v>328</v>
      </c>
      <c r="H28" s="14" t="s">
        <v>326</v>
      </c>
      <c r="I28" s="19"/>
      <c r="J28" s="19">
        <v>5142175511</v>
      </c>
      <c r="K28" s="17"/>
    </row>
    <row r="29" spans="1:12" ht="15.75" customHeight="1">
      <c r="A29">
        <f t="shared" si="0"/>
        <v>13</v>
      </c>
      <c r="B29" t="s">
        <v>465</v>
      </c>
      <c r="C29" s="160" t="s">
        <v>556</v>
      </c>
      <c r="D29" s="135" t="s">
        <v>558</v>
      </c>
      <c r="E29" s="136" t="s">
        <v>559</v>
      </c>
      <c r="F29" s="136">
        <v>30843</v>
      </c>
      <c r="G29" s="14" t="s">
        <v>557</v>
      </c>
      <c r="H29" s="14" t="s">
        <v>558</v>
      </c>
      <c r="I29" s="19" t="s">
        <v>559</v>
      </c>
      <c r="J29" s="19">
        <v>5145839237</v>
      </c>
      <c r="K29" s="17"/>
      <c r="L29" s="17"/>
    </row>
    <row r="30" spans="1:12" ht="15.75" customHeight="1">
      <c r="A30">
        <f t="shared" si="0"/>
        <v>14</v>
      </c>
      <c r="B30" t="s">
        <v>463</v>
      </c>
      <c r="C30" s="134" t="str">
        <f>ListeÉtudiants[[#This Row],[Apellido]]&amp;" " &amp;ListeÉtudiants[[#This Row],[Nombre]]</f>
        <v>Barreto Cenfi Andrea Paola</v>
      </c>
      <c r="D30" s="135" t="s">
        <v>131</v>
      </c>
      <c r="E30" s="136" t="s">
        <v>132</v>
      </c>
      <c r="F30" s="136">
        <v>36601</v>
      </c>
      <c r="G30" s="14" t="s">
        <v>133</v>
      </c>
      <c r="H30" s="14" t="s">
        <v>134</v>
      </c>
      <c r="I30" s="19" t="s">
        <v>135</v>
      </c>
      <c r="J30" s="19" t="s">
        <v>136</v>
      </c>
      <c r="K30" s="17" t="s">
        <v>137</v>
      </c>
    </row>
    <row r="31" spans="1:12" ht="15.75" customHeight="1">
      <c r="A31">
        <f t="shared" si="0"/>
        <v>15</v>
      </c>
      <c r="B31" t="s">
        <v>463</v>
      </c>
      <c r="C31" s="134" t="str">
        <f>ListeÉtudiants[[#This Row],[Apellido]]&amp;" " &amp;ListeÉtudiants[[#This Row],[Nombre]]</f>
        <v xml:space="preserve">Esquivier Medina  Salvador </v>
      </c>
      <c r="D31" s="135" t="s">
        <v>212</v>
      </c>
      <c r="E31" s="136" t="s">
        <v>213</v>
      </c>
      <c r="F31" s="136">
        <v>37685</v>
      </c>
      <c r="G31" s="14" t="s">
        <v>211</v>
      </c>
      <c r="H31" s="14" t="s">
        <v>214</v>
      </c>
      <c r="I31" s="19"/>
      <c r="J31" s="19" t="s">
        <v>215</v>
      </c>
      <c r="K31" s="17"/>
    </row>
    <row r="32" spans="1:12" ht="15.75" customHeight="1">
      <c r="A32">
        <f t="shared" si="0"/>
        <v>16</v>
      </c>
      <c r="B32" t="s">
        <v>463</v>
      </c>
      <c r="C32" s="134" t="str">
        <f>ListeÉtudiants[[#This Row],[Apellido]]&amp;" " &amp;ListeÉtudiants[[#This Row],[Nombre]]</f>
        <v>Garcia Marroquin Andrea</v>
      </c>
      <c r="D32" s="135" t="s">
        <v>223</v>
      </c>
      <c r="E32" s="136" t="s">
        <v>224</v>
      </c>
      <c r="F32" s="136">
        <v>36599</v>
      </c>
      <c r="G32" s="14" t="s">
        <v>225</v>
      </c>
      <c r="H32" s="14" t="s">
        <v>226</v>
      </c>
      <c r="I32" s="19" t="s">
        <v>227</v>
      </c>
      <c r="J32" s="19">
        <v>5145614034</v>
      </c>
      <c r="K32" s="17">
        <v>5148025468</v>
      </c>
    </row>
    <row r="33" spans="1:12" ht="15.75" customHeight="1">
      <c r="A33">
        <f t="shared" si="0"/>
        <v>17</v>
      </c>
      <c r="B33" t="s">
        <v>463</v>
      </c>
      <c r="C33" s="134" t="str">
        <f>ListeÉtudiants[[#This Row],[Apellido]]&amp;" " &amp;ListeÉtudiants[[#This Row],[Nombre]]</f>
        <v>Mosquera Robert Dean</v>
      </c>
      <c r="D33" s="135" t="s">
        <v>335</v>
      </c>
      <c r="E33" s="136" t="s">
        <v>336</v>
      </c>
      <c r="F33" s="136">
        <v>36720</v>
      </c>
      <c r="G33" s="14"/>
      <c r="H33" s="14" t="s">
        <v>337</v>
      </c>
      <c r="I33" s="19" t="s">
        <v>338</v>
      </c>
      <c r="J33" s="19" t="s">
        <v>339</v>
      </c>
      <c r="K33" s="17"/>
    </row>
    <row r="34" spans="1:12" ht="15.75" customHeight="1">
      <c r="A34">
        <f t="shared" si="0"/>
        <v>18</v>
      </c>
      <c r="B34" t="s">
        <v>463</v>
      </c>
      <c r="C34" s="134" t="str">
        <f>ListeÉtudiants[[#This Row],[Apellido]]&amp;" " &amp;ListeÉtudiants[[#This Row],[Nombre]]</f>
        <v>Quintanilla  Erika Camila</v>
      </c>
      <c r="D34" s="135" t="s">
        <v>368</v>
      </c>
      <c r="E34" s="136" t="s">
        <v>369</v>
      </c>
      <c r="F34" s="136">
        <v>37273</v>
      </c>
      <c r="G34" s="14" t="s">
        <v>370</v>
      </c>
      <c r="H34" s="14" t="s">
        <v>371</v>
      </c>
      <c r="I34" s="19" t="s">
        <v>372</v>
      </c>
      <c r="J34" s="19">
        <v>5144313076</v>
      </c>
      <c r="K34" s="17">
        <v>5146550269</v>
      </c>
      <c r="L34" t="s">
        <v>373</v>
      </c>
    </row>
    <row r="35" spans="1:12" ht="15.75" customHeight="1">
      <c r="A35">
        <f t="shared" si="0"/>
        <v>19</v>
      </c>
      <c r="B35" t="s">
        <v>463</v>
      </c>
      <c r="C35" s="134" t="str">
        <f>ListeÉtudiants[[#This Row],[Apellido]]&amp;" " &amp;ListeÉtudiants[[#This Row],[Nombre]]</f>
        <v>Villareal Rivera Juan Pablo</v>
      </c>
      <c r="D35" s="135" t="s">
        <v>432</v>
      </c>
      <c r="E35" s="136" t="s">
        <v>433</v>
      </c>
      <c r="F35" s="136">
        <v>36823</v>
      </c>
      <c r="G35" s="14" t="s">
        <v>434</v>
      </c>
      <c r="H35" s="14" t="s">
        <v>435</v>
      </c>
      <c r="I35" s="19" t="s">
        <v>436</v>
      </c>
      <c r="J35" s="19" t="s">
        <v>437</v>
      </c>
      <c r="K35" s="17"/>
    </row>
    <row r="36" spans="1:12" ht="15.75" customHeight="1">
      <c r="A36">
        <f t="shared" si="0"/>
        <v>20</v>
      </c>
      <c r="B36" t="s">
        <v>251</v>
      </c>
      <c r="C36" s="160" t="s">
        <v>574</v>
      </c>
      <c r="D36" s="135" t="s">
        <v>565</v>
      </c>
      <c r="E36" s="136" t="s">
        <v>566</v>
      </c>
      <c r="F36" s="136">
        <v>36104</v>
      </c>
      <c r="G36" s="14" t="s">
        <v>563</v>
      </c>
      <c r="H36" s="14" t="s">
        <v>570</v>
      </c>
      <c r="I36" s="19"/>
      <c r="J36" s="19">
        <v>5144638291</v>
      </c>
      <c r="K36" s="17"/>
      <c r="L36" s="17"/>
    </row>
    <row r="37" spans="1:12" ht="15.75" customHeight="1">
      <c r="A37">
        <f t="shared" si="0"/>
        <v>21</v>
      </c>
      <c r="B37" t="s">
        <v>251</v>
      </c>
      <c r="C37" s="134" t="str">
        <f>ListeÉtudiants[[#This Row],[Apellido]]&amp;" " &amp;ListeÉtudiants[[#This Row],[Nombre]]</f>
        <v>Restrepo Barrera Susana</v>
      </c>
      <c r="D37" s="135" t="s">
        <v>327</v>
      </c>
      <c r="E37" s="136" t="s">
        <v>379</v>
      </c>
      <c r="F37" s="136">
        <v>36595</v>
      </c>
      <c r="G37" s="115" t="s">
        <v>454</v>
      </c>
      <c r="H37" s="14" t="s">
        <v>380</v>
      </c>
      <c r="I37" s="19" t="s">
        <v>380</v>
      </c>
      <c r="J37" s="19" t="s">
        <v>381</v>
      </c>
      <c r="K37" s="17" t="s">
        <v>382</v>
      </c>
      <c r="L37" t="s">
        <v>383</v>
      </c>
    </row>
    <row r="38" spans="1:12" ht="15.75" customHeight="1">
      <c r="A38">
        <f t="shared" si="0"/>
        <v>22</v>
      </c>
      <c r="B38" t="s">
        <v>251</v>
      </c>
      <c r="C38" s="160" t="s">
        <v>576</v>
      </c>
      <c r="D38" s="135" t="s">
        <v>569</v>
      </c>
      <c r="E38" s="136" t="s">
        <v>568</v>
      </c>
      <c r="F38" s="136">
        <v>36658</v>
      </c>
      <c r="G38" s="14" t="s">
        <v>572</v>
      </c>
      <c r="H38" s="14" t="s">
        <v>573</v>
      </c>
      <c r="I38" s="19" t="s">
        <v>571</v>
      </c>
      <c r="J38" s="19">
        <v>4384973549</v>
      </c>
      <c r="K38" s="17"/>
      <c r="L38" s="17"/>
    </row>
    <row r="39" spans="1:12" ht="15.75" customHeight="1">
      <c r="A39">
        <f t="shared" si="0"/>
        <v>23</v>
      </c>
      <c r="B39" t="s">
        <v>251</v>
      </c>
      <c r="C39" s="160" t="s">
        <v>575</v>
      </c>
      <c r="D39" s="135" t="s">
        <v>567</v>
      </c>
      <c r="E39" s="136" t="s">
        <v>568</v>
      </c>
      <c r="F39" s="136">
        <v>37373</v>
      </c>
      <c r="G39" s="14" t="s">
        <v>572</v>
      </c>
      <c r="H39" s="14" t="s">
        <v>573</v>
      </c>
      <c r="I39" s="19" t="s">
        <v>571</v>
      </c>
      <c r="J39" s="19">
        <v>4384973549</v>
      </c>
      <c r="K39" s="17">
        <v>5148151368</v>
      </c>
      <c r="L39" s="17"/>
    </row>
    <row r="40" spans="1:12" ht="15.75" customHeight="1">
      <c r="A40">
        <f t="shared" si="0"/>
        <v>24</v>
      </c>
      <c r="B40" t="s">
        <v>251</v>
      </c>
      <c r="C40" s="134" t="str">
        <f>ListeÉtudiants[[#This Row],[Apellido]]&amp;" " &amp;ListeÉtudiants[[#This Row],[Nombre]]</f>
        <v>Solis Rodriguez Sofia</v>
      </c>
      <c r="D40" s="135" t="s">
        <v>324</v>
      </c>
      <c r="E40" s="136" t="s">
        <v>406</v>
      </c>
      <c r="F40" s="136">
        <v>37363</v>
      </c>
      <c r="G40" s="14" t="s">
        <v>407</v>
      </c>
      <c r="H40" s="14" t="s">
        <v>408</v>
      </c>
      <c r="I40" s="19" t="s">
        <v>409</v>
      </c>
      <c r="J40" s="19" t="s">
        <v>410</v>
      </c>
      <c r="K40" s="17" t="s">
        <v>411</v>
      </c>
      <c r="L40" t="s">
        <v>412</v>
      </c>
    </row>
    <row r="41" spans="1:12" ht="15.75" customHeight="1">
      <c r="A41">
        <f t="shared" si="0"/>
        <v>25</v>
      </c>
      <c r="B41" t="s">
        <v>251</v>
      </c>
      <c r="C41" s="134" t="str">
        <f>ListeÉtudiants[[#This Row],[Apellido]]&amp;" " &amp;ListeÉtudiants[[#This Row],[Nombre]]</f>
        <v>WONG QUIJANO MAYA</v>
      </c>
      <c r="D41" s="135" t="s">
        <v>438</v>
      </c>
      <c r="E41" s="136" t="s">
        <v>439</v>
      </c>
      <c r="F41" s="136">
        <v>37961</v>
      </c>
      <c r="G41" s="14" t="s">
        <v>440</v>
      </c>
      <c r="H41" s="14" t="s">
        <v>441</v>
      </c>
      <c r="I41" s="19" t="s">
        <v>442</v>
      </c>
      <c r="J41" s="19">
        <v>5148650502</v>
      </c>
      <c r="K41" s="17">
        <v>5146840278</v>
      </c>
      <c r="L41" t="s">
        <v>443</v>
      </c>
    </row>
    <row r="42" spans="1:12" ht="15.75" customHeight="1">
      <c r="A42">
        <f t="shared" si="0"/>
        <v>26</v>
      </c>
      <c r="B42" t="s">
        <v>251</v>
      </c>
      <c r="C42" s="134" t="str">
        <f>ListeÉtudiants[[#This Row],[Apellido]]&amp;" " &amp;ListeÉtudiants[[#This Row],[Nombre]]</f>
        <v xml:space="preserve">Fonte Isabella </v>
      </c>
      <c r="D42" s="135" t="s">
        <v>390</v>
      </c>
      <c r="E42" s="136" t="s">
        <v>589</v>
      </c>
      <c r="F42" s="136">
        <v>37520</v>
      </c>
      <c r="G42" t="s">
        <v>590</v>
      </c>
      <c r="H42" t="s">
        <v>592</v>
      </c>
      <c r="I42" t="s">
        <v>593</v>
      </c>
      <c r="J42" t="s">
        <v>594</v>
      </c>
      <c r="K42" t="s">
        <v>595</v>
      </c>
      <c r="L42" s="17"/>
    </row>
    <row r="43" spans="1:12" ht="15.75" customHeight="1">
      <c r="A43">
        <f t="shared" si="0"/>
        <v>27</v>
      </c>
      <c r="B43" t="s">
        <v>251</v>
      </c>
      <c r="C43" s="134" t="str">
        <f>ListeÉtudiants[[#This Row],[Apellido]]&amp;" " &amp;ListeÉtudiants[[#This Row],[Nombre]]</f>
        <v>Fonte Sofia</v>
      </c>
      <c r="D43" s="135" t="s">
        <v>324</v>
      </c>
      <c r="E43" s="136" t="s">
        <v>589</v>
      </c>
      <c r="F43" s="136">
        <v>35143</v>
      </c>
      <c r="G43" t="s">
        <v>591</v>
      </c>
      <c r="H43" t="s">
        <v>592</v>
      </c>
      <c r="I43" t="s">
        <v>593</v>
      </c>
      <c r="J43" t="s">
        <v>596</v>
      </c>
      <c r="K43" t="s">
        <v>595</v>
      </c>
      <c r="L43" s="17"/>
    </row>
    <row r="44" spans="1:12" ht="15.75" customHeight="1">
      <c r="A44">
        <f t="shared" si="0"/>
        <v>28</v>
      </c>
      <c r="B44" t="s">
        <v>251</v>
      </c>
      <c r="C44" s="134" t="str">
        <f>ListeÉtudiants[[#This Row],[Apellido]]&amp;" " &amp;ListeÉtudiants[[#This Row],[Nombre]]</f>
        <v>Torres Leyva Emilie</v>
      </c>
      <c r="D44" t="s">
        <v>597</v>
      </c>
      <c r="E44" t="s">
        <v>598</v>
      </c>
      <c r="F44" s="113">
        <v>39070</v>
      </c>
      <c r="G44" t="s">
        <v>599</v>
      </c>
      <c r="H44" t="s">
        <v>600</v>
      </c>
      <c r="I44" t="s">
        <v>601</v>
      </c>
      <c r="J44" t="s">
        <v>602</v>
      </c>
      <c r="K44" t="s">
        <v>603</v>
      </c>
      <c r="L44" s="17"/>
    </row>
    <row r="45" spans="1:12" ht="15.75" customHeight="1">
      <c r="A45">
        <f t="shared" si="0"/>
        <v>29</v>
      </c>
      <c r="B45" s="108" t="s">
        <v>156</v>
      </c>
      <c r="C45" s="134" t="str">
        <f>ListeÉtudiants[[#This Row],[Apellido]]&amp;" " &amp;ListeÉtudiants[[#This Row],[Nombre]]</f>
        <v>Barreto Cenfi Antonella Estephanie</v>
      </c>
      <c r="D45" s="135" t="s">
        <v>138</v>
      </c>
      <c r="E45" s="136" t="s">
        <v>132</v>
      </c>
      <c r="F45" s="136">
        <v>38304</v>
      </c>
      <c r="G45" s="14" t="s">
        <v>133</v>
      </c>
      <c r="H45" s="14" t="s">
        <v>134</v>
      </c>
      <c r="I45" s="19" t="s">
        <v>135</v>
      </c>
      <c r="J45" s="19" t="s">
        <v>136</v>
      </c>
      <c r="K45" s="17"/>
    </row>
    <row r="46" spans="1:12" ht="15.75" customHeight="1">
      <c r="A46">
        <f t="shared" si="0"/>
        <v>30</v>
      </c>
      <c r="B46" s="108" t="s">
        <v>156</v>
      </c>
      <c r="C46" s="134" t="str">
        <f>ListeÉtudiants[[#This Row],[Apellido]]&amp;" " &amp;ListeÉtudiants[[#This Row],[Nombre]]</f>
        <v xml:space="preserve">Barreto Cenfi Marco Antonio </v>
      </c>
      <c r="D46" s="135" t="s">
        <v>139</v>
      </c>
      <c r="E46" s="136" t="s">
        <v>132</v>
      </c>
      <c r="F46" s="136">
        <v>39237</v>
      </c>
      <c r="G46" s="14" t="s">
        <v>140</v>
      </c>
      <c r="H46" s="14" t="s">
        <v>134</v>
      </c>
      <c r="I46" s="19" t="s">
        <v>141</v>
      </c>
      <c r="J46" s="19" t="s">
        <v>137</v>
      </c>
      <c r="K46" s="17"/>
    </row>
    <row r="47" spans="1:12" ht="15.75" customHeight="1">
      <c r="A47">
        <f t="shared" si="0"/>
        <v>31</v>
      </c>
      <c r="B47" s="108" t="s">
        <v>156</v>
      </c>
      <c r="C47" s="134" t="str">
        <f>ListeÉtudiants[[#This Row],[Apellido]]&amp;" " &amp;ListeÉtudiants[[#This Row],[Nombre]]</f>
        <v>Bustos Mariajuliana</v>
      </c>
      <c r="D47" s="135" t="s">
        <v>149</v>
      </c>
      <c r="E47" s="136" t="s">
        <v>150</v>
      </c>
      <c r="F47" s="136">
        <v>38410</v>
      </c>
      <c r="G47" s="14" t="s">
        <v>151</v>
      </c>
      <c r="H47" s="14" t="s">
        <v>152</v>
      </c>
      <c r="I47" s="19" t="s">
        <v>153</v>
      </c>
      <c r="J47" s="19">
        <v>5146902471</v>
      </c>
      <c r="K47" s="17" t="s">
        <v>154</v>
      </c>
      <c r="L47" t="s">
        <v>155</v>
      </c>
    </row>
    <row r="48" spans="1:12" ht="15.75" customHeight="1">
      <c r="A48">
        <f t="shared" si="0"/>
        <v>32</v>
      </c>
      <c r="B48" s="108" t="s">
        <v>156</v>
      </c>
      <c r="C48" s="134" t="str">
        <f>ListeÉtudiants[[#This Row],[Apellido]]&amp;" " &amp;ListeÉtudiants[[#This Row],[Nombre]]</f>
        <v xml:space="preserve">Carrera Myah </v>
      </c>
      <c r="D48" s="135" t="s">
        <v>161</v>
      </c>
      <c r="E48" s="136" t="s">
        <v>158</v>
      </c>
      <c r="F48" s="136">
        <v>39306</v>
      </c>
      <c r="G48" s="14" t="s">
        <v>159</v>
      </c>
      <c r="H48" s="14" t="s">
        <v>160</v>
      </c>
      <c r="I48" s="19"/>
      <c r="J48" s="19">
        <v>5146641644</v>
      </c>
      <c r="K48" s="17"/>
    </row>
    <row r="49" spans="1:12" ht="15.75" customHeight="1">
      <c r="A49">
        <f t="shared" si="0"/>
        <v>33</v>
      </c>
      <c r="B49" s="185" t="s">
        <v>156</v>
      </c>
      <c r="C49" s="134" t="str">
        <f>ListeÉtudiants[[#This Row],[Apellido]]&amp;" " &amp;ListeÉtudiants[[#This Row],[Nombre]]</f>
        <v>Carrera Ushinahua Dayana</v>
      </c>
      <c r="D49" s="135" t="s">
        <v>157</v>
      </c>
      <c r="E49" s="136" t="s">
        <v>162</v>
      </c>
      <c r="F49" s="136">
        <v>38296</v>
      </c>
      <c r="G49" s="14" t="s">
        <v>159</v>
      </c>
      <c r="H49" s="14" t="s">
        <v>163</v>
      </c>
      <c r="I49" s="19" t="s">
        <v>164</v>
      </c>
      <c r="J49" s="19" t="s">
        <v>165</v>
      </c>
      <c r="K49" s="17"/>
    </row>
    <row r="50" spans="1:12" ht="15.75" customHeight="1">
      <c r="A50">
        <f t="shared" si="0"/>
        <v>34</v>
      </c>
      <c r="B50" s="108" t="s">
        <v>156</v>
      </c>
      <c r="C50" s="134" t="str">
        <f>ListeÉtudiants[[#This Row],[Apellido]]&amp;" " &amp;ListeÉtudiants[[#This Row],[Nombre]]</f>
        <v>Corcuera Hias David Andre</v>
      </c>
      <c r="D50" s="135" t="s">
        <v>166</v>
      </c>
      <c r="E50" s="136" t="s">
        <v>167</v>
      </c>
      <c r="F50" s="136">
        <v>39127</v>
      </c>
      <c r="G50" s="14" t="s">
        <v>168</v>
      </c>
      <c r="H50" s="14" t="s">
        <v>169</v>
      </c>
      <c r="I50" s="19" t="s">
        <v>170</v>
      </c>
      <c r="J50" s="19">
        <v>5147571735</v>
      </c>
      <c r="K50" s="17">
        <v>5148981735</v>
      </c>
      <c r="L50" t="s">
        <v>171</v>
      </c>
    </row>
    <row r="51" spans="1:12" ht="15.75" customHeight="1">
      <c r="A51">
        <f t="shared" si="0"/>
        <v>35</v>
      </c>
      <c r="B51" s="108" t="s">
        <v>156</v>
      </c>
      <c r="C51" s="134" t="str">
        <f>ListeÉtudiants[[#This Row],[Apellido]]&amp;" " &amp;ListeÉtudiants[[#This Row],[Nombre]]</f>
        <v>Corcuera Hias Lucas Emanuel</v>
      </c>
      <c r="D51" s="135" t="s">
        <v>172</v>
      </c>
      <c r="E51" s="136" t="s">
        <v>167</v>
      </c>
      <c r="F51" s="136">
        <v>38239</v>
      </c>
      <c r="G51" s="14" t="s">
        <v>168</v>
      </c>
      <c r="H51" s="14" t="s">
        <v>169</v>
      </c>
      <c r="I51" s="19" t="s">
        <v>170</v>
      </c>
      <c r="J51" s="19">
        <v>5147571735</v>
      </c>
      <c r="K51" s="17">
        <v>5148981735</v>
      </c>
      <c r="L51" t="s">
        <v>171</v>
      </c>
    </row>
    <row r="52" spans="1:12" ht="15.75" customHeight="1">
      <c r="A52">
        <f t="shared" si="0"/>
        <v>36</v>
      </c>
      <c r="B52" s="185" t="s">
        <v>156</v>
      </c>
      <c r="C52" s="134" t="str">
        <f>ListeÉtudiants[[#This Row],[Apellido]]&amp;" " &amp;ListeÉtudiants[[#This Row],[Nombre]]</f>
        <v>Corcuera Hias Thiago Enrique</v>
      </c>
      <c r="D52" s="135" t="s">
        <v>173</v>
      </c>
      <c r="E52" s="136" t="s">
        <v>167</v>
      </c>
      <c r="F52" s="136">
        <v>37671</v>
      </c>
      <c r="G52" s="14" t="s">
        <v>168</v>
      </c>
      <c r="H52" s="14" t="s">
        <v>169</v>
      </c>
      <c r="I52" s="19" t="s">
        <v>170</v>
      </c>
      <c r="J52" s="19">
        <v>5147571735</v>
      </c>
      <c r="K52" s="17">
        <v>5148981735</v>
      </c>
      <c r="L52" t="s">
        <v>171</v>
      </c>
    </row>
    <row r="53" spans="1:12" ht="15.75" customHeight="1">
      <c r="A53">
        <f t="shared" si="0"/>
        <v>37</v>
      </c>
      <c r="B53" s="108" t="s">
        <v>156</v>
      </c>
      <c r="C53" s="134" t="str">
        <f>ListeÉtudiants[[#This Row],[Apellido]]&amp;" " &amp;ListeÉtudiants[[#This Row],[Nombre]]</f>
        <v>Cuadra Jesus David</v>
      </c>
      <c r="D53" s="135" t="s">
        <v>179</v>
      </c>
      <c r="E53" s="136" t="s">
        <v>180</v>
      </c>
      <c r="F53" s="136">
        <v>39325</v>
      </c>
      <c r="G53" s="14"/>
      <c r="H53" s="14" t="s">
        <v>181</v>
      </c>
      <c r="I53" s="19"/>
      <c r="J53" s="19"/>
      <c r="K53" s="17"/>
    </row>
    <row r="54" spans="1:12" ht="15.75" customHeight="1">
      <c r="A54">
        <f t="shared" si="0"/>
        <v>38</v>
      </c>
      <c r="B54" s="108" t="s">
        <v>156</v>
      </c>
      <c r="C54" s="134" t="str">
        <f>ListeÉtudiants[[#This Row],[Apellido]]&amp;" " &amp;ListeÉtudiants[[#This Row],[Nombre]]</f>
        <v>De leon Sairy</v>
      </c>
      <c r="D54" s="135" t="s">
        <v>196</v>
      </c>
      <c r="E54" s="136" t="s">
        <v>197</v>
      </c>
      <c r="F54" s="136">
        <v>37847</v>
      </c>
      <c r="G54" s="14" t="s">
        <v>198</v>
      </c>
      <c r="H54" s="14" t="s">
        <v>199</v>
      </c>
      <c r="I54" s="19"/>
      <c r="J54" s="19">
        <v>5142130326</v>
      </c>
      <c r="K54" s="17"/>
    </row>
    <row r="55" spans="1:12" ht="15.75" customHeight="1">
      <c r="A55">
        <f t="shared" si="0"/>
        <v>39</v>
      </c>
      <c r="B55" s="108" t="s">
        <v>156</v>
      </c>
      <c r="C55" s="134" t="str">
        <f>ListeÉtudiants[[#This Row],[Apellido]]&amp;" " &amp;ListeÉtudiants[[#This Row],[Nombre]]</f>
        <v>De leon medrano Kisbel izhet</v>
      </c>
      <c r="D55" s="135" t="s">
        <v>200</v>
      </c>
      <c r="E55" s="136" t="s">
        <v>201</v>
      </c>
      <c r="F55" s="136">
        <v>39269</v>
      </c>
      <c r="G55" s="14" t="s">
        <v>198</v>
      </c>
      <c r="H55" s="14" t="s">
        <v>202</v>
      </c>
      <c r="I55" s="19" t="s">
        <v>203</v>
      </c>
      <c r="J55" s="19">
        <v>5142130326</v>
      </c>
      <c r="K55" s="17"/>
      <c r="L55" t="s">
        <v>204</v>
      </c>
    </row>
    <row r="56" spans="1:12" ht="15.75" customHeight="1">
      <c r="A56">
        <f t="shared" si="0"/>
        <v>40</v>
      </c>
      <c r="B56" s="108" t="s">
        <v>156</v>
      </c>
      <c r="C56" s="134" t="str">
        <f>ListeÉtudiants[[#This Row],[Apellido]]&amp;" " &amp;ListeÉtudiants[[#This Row],[Nombre]]</f>
        <v xml:space="preserve">Gonzalez Aljoen Denis </v>
      </c>
      <c r="D56" s="135" t="s">
        <v>243</v>
      </c>
      <c r="E56" s="136" t="s">
        <v>244</v>
      </c>
      <c r="F56" s="136">
        <v>39126</v>
      </c>
      <c r="G56" s="14"/>
      <c r="H56" s="14" t="s">
        <v>244</v>
      </c>
      <c r="I56" s="19"/>
      <c r="J56" s="19">
        <v>5143823675</v>
      </c>
      <c r="K56" s="17"/>
    </row>
    <row r="57" spans="1:12" ht="15.75" customHeight="1">
      <c r="A57">
        <f t="shared" si="0"/>
        <v>41</v>
      </c>
      <c r="B57" s="108" t="s">
        <v>156</v>
      </c>
      <c r="C57" s="134" t="str">
        <f>ListeÉtudiants[[#This Row],[Apellido]]&amp;" " &amp;ListeÉtudiants[[#This Row],[Nombre]]</f>
        <v>Guerrero Arasy</v>
      </c>
      <c r="D57" s="135" t="s">
        <v>245</v>
      </c>
      <c r="E57" s="136" t="s">
        <v>246</v>
      </c>
      <c r="F57" s="136">
        <v>38750</v>
      </c>
      <c r="G57" s="14" t="s">
        <v>247</v>
      </c>
      <c r="H57" s="14" t="s">
        <v>248</v>
      </c>
      <c r="I57" s="19" t="s">
        <v>249</v>
      </c>
      <c r="J57" s="19">
        <v>5144584080</v>
      </c>
      <c r="K57" s="17">
        <v>14387284036</v>
      </c>
      <c r="L57" t="s">
        <v>250</v>
      </c>
    </row>
    <row r="58" spans="1:12" ht="15.75" customHeight="1">
      <c r="A58">
        <f t="shared" si="0"/>
        <v>42</v>
      </c>
      <c r="B58" s="185" t="s">
        <v>156</v>
      </c>
      <c r="C58" s="134" t="str">
        <f>ListeÉtudiants[[#This Row],[Apellido]]&amp;" " &amp;ListeÉtudiants[[#This Row],[Nombre]]</f>
        <v>Hernández Jonas Angel</v>
      </c>
      <c r="D58" s="135" t="s">
        <v>252</v>
      </c>
      <c r="E58" s="136" t="s">
        <v>253</v>
      </c>
      <c r="F58" s="136">
        <v>38602</v>
      </c>
      <c r="G58" s="14" t="s">
        <v>254</v>
      </c>
      <c r="H58" s="14" t="s">
        <v>255</v>
      </c>
      <c r="I58" s="19" t="s">
        <v>256</v>
      </c>
      <c r="J58" s="19" t="s">
        <v>257</v>
      </c>
      <c r="K58" s="17" t="s">
        <v>257</v>
      </c>
    </row>
    <row r="59" spans="1:12" ht="15.75" customHeight="1">
      <c r="B59" s="108" t="s">
        <v>156</v>
      </c>
      <c r="C59" s="134" t="str">
        <f>ListeÉtudiants[[#This Row],[Apellido]]&amp;" " &amp;ListeÉtudiants[[#This Row],[Nombre]]</f>
        <v>Hidalgo ushinahua Brandon mattéo</v>
      </c>
      <c r="D59" s="135" t="s">
        <v>258</v>
      </c>
      <c r="E59" s="136" t="s">
        <v>259</v>
      </c>
      <c r="F59" s="136">
        <v>38888</v>
      </c>
      <c r="G59" s="14" t="s">
        <v>260</v>
      </c>
      <c r="H59" s="14" t="s">
        <v>261</v>
      </c>
      <c r="I59" s="19" t="s">
        <v>262</v>
      </c>
      <c r="J59" s="19">
        <v>5147543313</v>
      </c>
      <c r="K59" s="17">
        <v>5147099624</v>
      </c>
      <c r="L59" t="s">
        <v>263</v>
      </c>
    </row>
    <row r="60" spans="1:12" ht="15.75" customHeight="1">
      <c r="B60" s="185" t="s">
        <v>156</v>
      </c>
      <c r="C60" s="134" t="str">
        <f>ListeÉtudiants[[#This Row],[Apellido]]&amp;" " &amp;ListeÉtudiants[[#This Row],[Nombre]]</f>
        <v>Lagomarcino Isaac</v>
      </c>
      <c r="D60" s="135" t="s">
        <v>276</v>
      </c>
      <c r="E60" s="136" t="s">
        <v>277</v>
      </c>
      <c r="F60" s="136">
        <v>38594</v>
      </c>
      <c r="G60" s="14"/>
      <c r="H60" s="14" t="s">
        <v>278</v>
      </c>
      <c r="I60" s="19" t="s">
        <v>279</v>
      </c>
      <c r="J60" s="19">
        <v>5149490520</v>
      </c>
      <c r="K60" s="17" t="s">
        <v>280</v>
      </c>
    </row>
    <row r="61" spans="1:12" ht="15.75" customHeight="1">
      <c r="B61" s="108" t="s">
        <v>156</v>
      </c>
      <c r="C61" s="134" t="str">
        <f>ListeÉtudiants[[#This Row],[Apellido]]&amp;" " &amp;ListeÉtudiants[[#This Row],[Nombre]]</f>
        <v>Lopera Mayson</v>
      </c>
      <c r="D61" s="135" t="s">
        <v>285</v>
      </c>
      <c r="E61" s="136" t="s">
        <v>286</v>
      </c>
      <c r="F61" s="136">
        <v>39444</v>
      </c>
      <c r="G61" s="14" t="s">
        <v>287</v>
      </c>
      <c r="H61" s="14" t="s">
        <v>288</v>
      </c>
      <c r="I61" s="19" t="s">
        <v>289</v>
      </c>
      <c r="J61" s="19" t="s">
        <v>290</v>
      </c>
      <c r="K61" s="17" t="s">
        <v>291</v>
      </c>
    </row>
    <row r="62" spans="1:12" ht="15.75" customHeight="1">
      <c r="B62" s="185" t="s">
        <v>156</v>
      </c>
      <c r="C62" s="134" t="str">
        <f>ListeÉtudiants[[#This Row],[Apellido]]&amp;" " &amp;ListeÉtudiants[[#This Row],[Nombre]]</f>
        <v>Maria Gerson</v>
      </c>
      <c r="D62" s="135" t="s">
        <v>297</v>
      </c>
      <c r="E62" s="136" t="s">
        <v>298</v>
      </c>
      <c r="F62" s="136">
        <v>38434</v>
      </c>
      <c r="G62" s="14" t="s">
        <v>299</v>
      </c>
      <c r="H62" s="14" t="s">
        <v>300</v>
      </c>
      <c r="I62" s="19" t="s">
        <v>301</v>
      </c>
      <c r="J62" s="19" t="s">
        <v>302</v>
      </c>
      <c r="K62" s="17"/>
    </row>
    <row r="63" spans="1:12" ht="15.75" customHeight="1">
      <c r="B63" s="185" t="s">
        <v>156</v>
      </c>
      <c r="C63" s="134" t="str">
        <f>ListeÉtudiants[[#This Row],[Apellido]]&amp;" " &amp;ListeÉtudiants[[#This Row],[Nombre]]</f>
        <v xml:space="preserve">Marroquin Vidaurre Sebastián </v>
      </c>
      <c r="D63" s="135" t="s">
        <v>303</v>
      </c>
      <c r="E63" s="136" t="s">
        <v>304</v>
      </c>
      <c r="F63" s="136">
        <v>38589</v>
      </c>
      <c r="G63" s="14" t="s">
        <v>225</v>
      </c>
      <c r="H63" s="14" t="s">
        <v>226</v>
      </c>
      <c r="I63" s="19" t="s">
        <v>305</v>
      </c>
      <c r="J63" s="19">
        <v>5145614034</v>
      </c>
      <c r="K63" s="17">
        <v>5148025468</v>
      </c>
    </row>
    <row r="64" spans="1:12" ht="15.75" customHeight="1">
      <c r="B64" s="185" t="s">
        <v>156</v>
      </c>
      <c r="C64" s="134" t="str">
        <f>ListeÉtudiants[[#This Row],[Apellido]]&amp;" " &amp;ListeÉtudiants[[#This Row],[Nombre]]</f>
        <v xml:space="preserve">Mejia Alvarez Fernanda Marisol </v>
      </c>
      <c r="D64" s="135" t="s">
        <v>306</v>
      </c>
      <c r="E64" s="136" t="s">
        <v>307</v>
      </c>
      <c r="F64" s="136">
        <v>38763</v>
      </c>
      <c r="G64" s="14" t="s">
        <v>308</v>
      </c>
      <c r="H64" s="14" t="s">
        <v>309</v>
      </c>
      <c r="I64" s="19" t="s">
        <v>310</v>
      </c>
      <c r="J64" s="19">
        <v>5145691769</v>
      </c>
      <c r="K64" s="17">
        <v>5146388869</v>
      </c>
      <c r="L64" t="s">
        <v>311</v>
      </c>
    </row>
    <row r="65" spans="2:12" ht="15.75" customHeight="1">
      <c r="B65" s="185" t="s">
        <v>156</v>
      </c>
      <c r="C65" s="134" t="str">
        <f>ListeÉtudiants[[#This Row],[Apellido]]&amp;" " &amp;ListeÉtudiants[[#This Row],[Nombre]]</f>
        <v>MEJIA LOPEZ MARIA JOSE</v>
      </c>
      <c r="D65" s="135" t="s">
        <v>312</v>
      </c>
      <c r="E65" s="136" t="s">
        <v>313</v>
      </c>
      <c r="F65" s="136">
        <v>39023</v>
      </c>
      <c r="G65" s="14" t="s">
        <v>314</v>
      </c>
      <c r="H65" s="14" t="s">
        <v>315</v>
      </c>
      <c r="I65" s="19" t="s">
        <v>316</v>
      </c>
      <c r="J65" s="19">
        <v>5146569079</v>
      </c>
      <c r="K65" s="17">
        <v>5146569079</v>
      </c>
      <c r="L65" t="s">
        <v>314</v>
      </c>
    </row>
    <row r="66" spans="2:12" ht="15.75" customHeight="1">
      <c r="B66" s="185" t="s">
        <v>156</v>
      </c>
      <c r="C66" s="134" t="str">
        <f>ListeÉtudiants[[#This Row],[Apellido]]&amp;" " &amp;ListeÉtudiants[[#This Row],[Nombre]]</f>
        <v>Mendoza Knapp Emiliano</v>
      </c>
      <c r="D66" s="135" t="s">
        <v>317</v>
      </c>
      <c r="E66" s="136" t="s">
        <v>318</v>
      </c>
      <c r="F66" s="136">
        <v>38655</v>
      </c>
      <c r="G66" s="14"/>
      <c r="H66" s="14" t="s">
        <v>319</v>
      </c>
      <c r="I66" s="19" t="s">
        <v>320</v>
      </c>
      <c r="J66" s="19"/>
      <c r="K66" s="17">
        <v>6575757657</v>
      </c>
    </row>
    <row r="67" spans="2:12" ht="15.75" customHeight="1">
      <c r="B67" s="185" t="s">
        <v>156</v>
      </c>
      <c r="C67" s="134" t="str">
        <f>ListeÉtudiants[[#This Row],[Apellido]]&amp;" " &amp;ListeÉtudiants[[#This Row],[Nombre]]</f>
        <v>Montufar Sofia</v>
      </c>
      <c r="D67" s="135" t="s">
        <v>324</v>
      </c>
      <c r="E67" s="136" t="s">
        <v>325</v>
      </c>
      <c r="F67" s="136">
        <v>39130</v>
      </c>
      <c r="G67" s="14"/>
      <c r="H67" s="14" t="s">
        <v>326</v>
      </c>
      <c r="I67" s="19"/>
      <c r="J67" s="19">
        <v>5147298222</v>
      </c>
      <c r="K67" s="17"/>
    </row>
    <row r="68" spans="2:12" ht="15.75" customHeight="1">
      <c r="B68" s="185" t="s">
        <v>156</v>
      </c>
      <c r="C68" s="134" t="str">
        <f>ListeÉtudiants[[#This Row],[Apellido]]&amp;" " &amp;ListeÉtudiants[[#This Row],[Nombre]]</f>
        <v>Mora Borda Juan Diego</v>
      </c>
      <c r="D68" s="135" t="s">
        <v>329</v>
      </c>
      <c r="E68" s="136" t="s">
        <v>330</v>
      </c>
      <c r="F68" s="136">
        <v>38960</v>
      </c>
      <c r="G68" s="14" t="s">
        <v>331</v>
      </c>
      <c r="H68" s="14" t="s">
        <v>332</v>
      </c>
      <c r="I68" s="19" t="s">
        <v>333</v>
      </c>
      <c r="J68" s="19">
        <v>5145577702</v>
      </c>
      <c r="K68" s="17">
        <v>5145572818</v>
      </c>
      <c r="L68" t="s">
        <v>334</v>
      </c>
    </row>
    <row r="69" spans="2:12" ht="15.75" customHeight="1">
      <c r="B69" s="185" t="s">
        <v>156</v>
      </c>
      <c r="C69" s="134" t="str">
        <f>ListeÉtudiants[[#This Row],[Apellido]]&amp;" " &amp;ListeÉtudiants[[#This Row],[Nombre]]</f>
        <v>Munevar Laura Camila</v>
      </c>
      <c r="D69" s="135" t="s">
        <v>340</v>
      </c>
      <c r="E69" s="136" t="s">
        <v>341</v>
      </c>
      <c r="F69" s="136">
        <v>38371</v>
      </c>
      <c r="G69" s="14" t="s">
        <v>342</v>
      </c>
      <c r="H69" s="14" t="s">
        <v>343</v>
      </c>
      <c r="I69" s="19" t="s">
        <v>344</v>
      </c>
      <c r="J69" s="19">
        <v>5144247357</v>
      </c>
      <c r="K69" s="17">
        <v>4385217357</v>
      </c>
      <c r="L69" t="s">
        <v>345</v>
      </c>
    </row>
    <row r="70" spans="2:12" ht="15.75" customHeight="1">
      <c r="B70" s="185" t="s">
        <v>156</v>
      </c>
      <c r="C70" s="134" t="str">
        <f>ListeÉtudiants[[#This Row],[Apellido]]&amp;" " &amp;ListeÉtudiants[[#This Row],[Nombre]]</f>
        <v xml:space="preserve">Polanco Monzon Allison Rubí </v>
      </c>
      <c r="D70" s="135" t="s">
        <v>360</v>
      </c>
      <c r="E70" s="136" t="s">
        <v>361</v>
      </c>
      <c r="F70" s="136">
        <v>38570</v>
      </c>
      <c r="G70" s="14" t="s">
        <v>362</v>
      </c>
      <c r="H70" s="14" t="s">
        <v>363</v>
      </c>
      <c r="I70" s="19" t="s">
        <v>364</v>
      </c>
      <c r="J70" s="19" t="s">
        <v>365</v>
      </c>
      <c r="K70" s="17" t="s">
        <v>366</v>
      </c>
      <c r="L70" t="s">
        <v>367</v>
      </c>
    </row>
    <row r="71" spans="2:12" ht="15.75" customHeight="1">
      <c r="B71" s="185" t="s">
        <v>156</v>
      </c>
      <c r="C71" s="134" t="str">
        <f>ListeÉtudiants[[#This Row],[Apellido]]&amp;" " &amp;ListeÉtudiants[[#This Row],[Nombre]]</f>
        <v xml:space="preserve">Quintero  Sebastian </v>
      </c>
      <c r="D71" s="135" t="s">
        <v>374</v>
      </c>
      <c r="E71" s="136" t="s">
        <v>375</v>
      </c>
      <c r="F71" s="136">
        <v>38507</v>
      </c>
      <c r="G71" s="14" t="s">
        <v>376</v>
      </c>
      <c r="H71" s="14" t="s">
        <v>377</v>
      </c>
      <c r="I71" s="19" t="s">
        <v>378</v>
      </c>
      <c r="J71" s="19">
        <v>5147466850</v>
      </c>
      <c r="K71" s="17"/>
    </row>
    <row r="72" spans="2:12" ht="15.75" customHeight="1">
      <c r="B72" s="185" t="s">
        <v>156</v>
      </c>
      <c r="C72" s="134" t="str">
        <f>ListeÉtudiants[[#This Row],[Apellido]]&amp;" " &amp;ListeÉtudiants[[#This Row],[Nombre]]</f>
        <v>Reyes Gracia Wendy Sofia</v>
      </c>
      <c r="D72" s="135" t="s">
        <v>384</v>
      </c>
      <c r="E72" s="136" t="s">
        <v>385</v>
      </c>
      <c r="F72" s="136">
        <v>39014</v>
      </c>
      <c r="G72" s="14" t="s">
        <v>386</v>
      </c>
      <c r="H72" s="14" t="s">
        <v>387</v>
      </c>
      <c r="I72" s="19" t="s">
        <v>388</v>
      </c>
      <c r="J72" s="19">
        <v>5148935655</v>
      </c>
      <c r="K72" s="17">
        <v>5145860048</v>
      </c>
      <c r="L72" t="s">
        <v>389</v>
      </c>
    </row>
    <row r="73" spans="2:12" ht="15.75" customHeight="1">
      <c r="B73" s="185" t="s">
        <v>156</v>
      </c>
      <c r="C73" s="134" t="str">
        <f>ListeÉtudiants[[#This Row],[Apellido]]&amp;" " &amp;ListeÉtudiants[[#This Row],[Nombre]]</f>
        <v xml:space="preserve">Rubio Bustos Isabella </v>
      </c>
      <c r="D73" s="135" t="s">
        <v>390</v>
      </c>
      <c r="E73" s="136" t="s">
        <v>391</v>
      </c>
      <c r="F73" s="136">
        <v>39165</v>
      </c>
      <c r="G73" s="14" t="s">
        <v>151</v>
      </c>
      <c r="H73" s="14" t="s">
        <v>152</v>
      </c>
      <c r="I73" s="19" t="s">
        <v>153</v>
      </c>
      <c r="J73" s="19">
        <v>5146902471</v>
      </c>
      <c r="K73" s="17">
        <v>5146602471</v>
      </c>
      <c r="L73" t="s">
        <v>155</v>
      </c>
    </row>
    <row r="74" spans="2:12" ht="15.75" customHeight="1">
      <c r="B74" s="185" t="s">
        <v>156</v>
      </c>
      <c r="C74" s="134" t="str">
        <f>ListeÉtudiants[[#This Row],[Apellido]]&amp;" " &amp;ListeÉtudiants[[#This Row],[Nombre]]</f>
        <v xml:space="preserve">Valencia Rios Rebeca </v>
      </c>
      <c r="D74" s="135" t="s">
        <v>413</v>
      </c>
      <c r="E74" s="136" t="s">
        <v>414</v>
      </c>
      <c r="F74" s="136">
        <v>39160</v>
      </c>
      <c r="G74" s="14" t="s">
        <v>415</v>
      </c>
      <c r="H74" s="14" t="s">
        <v>416</v>
      </c>
      <c r="I74" s="19" t="s">
        <v>417</v>
      </c>
      <c r="J74" s="19">
        <v>4385211627</v>
      </c>
      <c r="K74" s="17">
        <v>4385211542</v>
      </c>
      <c r="L74" t="s">
        <v>418</v>
      </c>
    </row>
    <row r="75" spans="2:12" ht="15.75" customHeight="1">
      <c r="B75" s="185" t="s">
        <v>156</v>
      </c>
      <c r="C75" s="134" t="str">
        <f>ListeÉtudiants[[#This Row],[Apellido]]&amp;" " &amp;ListeÉtudiants[[#This Row],[Nombre]]</f>
        <v xml:space="preserve">Vargas Ashley </v>
      </c>
      <c r="D75" s="135" t="s">
        <v>419</v>
      </c>
      <c r="E75" s="136" t="s">
        <v>420</v>
      </c>
      <c r="F75" s="136">
        <v>38844</v>
      </c>
      <c r="G75" s="14" t="s">
        <v>421</v>
      </c>
      <c r="H75" s="14" t="s">
        <v>422</v>
      </c>
      <c r="I75" s="19" t="s">
        <v>423</v>
      </c>
      <c r="J75" s="19" t="s">
        <v>424</v>
      </c>
      <c r="K75" s="17" t="s">
        <v>425</v>
      </c>
    </row>
    <row r="76" spans="2:12" ht="15.75" customHeight="1">
      <c r="B76" s="185" t="s">
        <v>156</v>
      </c>
      <c r="C76" s="134" t="str">
        <f>ListeÉtudiants[[#This Row],[Apellido]]&amp;" " &amp;ListeÉtudiants[[#This Row],[Nombre]]</f>
        <v>VILLALTA   Aquino Steven Mauricio</v>
      </c>
      <c r="D76" s="135" t="s">
        <v>426</v>
      </c>
      <c r="E76" s="136" t="s">
        <v>427</v>
      </c>
      <c r="F76" s="136">
        <v>38068</v>
      </c>
      <c r="G76" s="14" t="s">
        <v>428</v>
      </c>
      <c r="H76" s="14" t="s">
        <v>429</v>
      </c>
      <c r="I76" s="19" t="s">
        <v>430</v>
      </c>
      <c r="J76" s="19">
        <v>5149941321</v>
      </c>
      <c r="K76" s="17" t="s">
        <v>431</v>
      </c>
      <c r="L76" t="s">
        <v>428</v>
      </c>
    </row>
    <row r="77" spans="2:12" ht="15.75" customHeight="1">
      <c r="B77" s="185" t="s">
        <v>156</v>
      </c>
      <c r="C77" s="134" t="str">
        <f>ListeÉtudiants[[#This Row],[Apellido]]&amp;" " &amp;ListeÉtudiants[[#This Row],[Nombre]]</f>
        <v>Zuniga Pablo</v>
      </c>
      <c r="D77" s="135" t="s">
        <v>444</v>
      </c>
      <c r="E77" s="136" t="s">
        <v>445</v>
      </c>
      <c r="F77" s="136">
        <v>39074</v>
      </c>
      <c r="G77" s="14" t="s">
        <v>446</v>
      </c>
      <c r="H77" s="14" t="s">
        <v>447</v>
      </c>
      <c r="I77" s="19" t="s">
        <v>448</v>
      </c>
      <c r="J77" s="19">
        <v>5148555814</v>
      </c>
      <c r="K77" s="17">
        <v>5148555814</v>
      </c>
      <c r="L77" t="s">
        <v>449</v>
      </c>
    </row>
    <row r="78" spans="2:12" ht="15.75" customHeight="1">
      <c r="B78" t="s">
        <v>464</v>
      </c>
      <c r="C78" s="134" t="str">
        <f>ListeÉtudiants[[#This Row],[Apellido]]&amp;" " &amp;ListeÉtudiants[[#This Row],[Nombre]]</f>
        <v>Ambrosio Martinez Deider Mateo</v>
      </c>
      <c r="D78" s="135" t="s">
        <v>128</v>
      </c>
      <c r="E78" s="136" t="s">
        <v>129</v>
      </c>
      <c r="F78" s="136">
        <v>40597</v>
      </c>
      <c r="G78" s="115" t="s">
        <v>554</v>
      </c>
      <c r="H78" s="14"/>
      <c r="I78" s="19"/>
      <c r="J78" s="19">
        <v>8474656557</v>
      </c>
      <c r="K78" s="17"/>
    </row>
    <row r="79" spans="2:12" ht="15.75" customHeight="1">
      <c r="B79" t="s">
        <v>464</v>
      </c>
      <c r="C79" s="134" t="str">
        <f>ListeÉtudiants[[#This Row],[Apellido]]&amp;" " &amp;ListeÉtudiants[[#This Row],[Nombre]]</f>
        <v>Jurado Mateo</v>
      </c>
      <c r="D79" s="135" t="s">
        <v>268</v>
      </c>
      <c r="E79" s="136" t="s">
        <v>269</v>
      </c>
      <c r="F79" s="136">
        <v>40723</v>
      </c>
      <c r="G79" s="14" t="s">
        <v>270</v>
      </c>
      <c r="H79" s="14" t="s">
        <v>271</v>
      </c>
      <c r="I79" s="19" t="s">
        <v>272</v>
      </c>
      <c r="J79" s="19" t="s">
        <v>273</v>
      </c>
      <c r="K79" s="17" t="s">
        <v>274</v>
      </c>
      <c r="L79" t="s">
        <v>275</v>
      </c>
    </row>
    <row r="80" spans="2:12" ht="15.75" customHeight="1">
      <c r="B80" t="s">
        <v>464</v>
      </c>
      <c r="C80" s="134" t="str">
        <f>ListeÉtudiants[[#This Row],[Apellido]]&amp;" " &amp;ListeÉtudiants[[#This Row],[Nombre]]</f>
        <v>Molina Santigo</v>
      </c>
      <c r="D80" s="135" t="s">
        <v>321</v>
      </c>
      <c r="E80" s="136" t="s">
        <v>322</v>
      </c>
      <c r="F80" s="136">
        <v>41163</v>
      </c>
      <c r="G80" s="14" t="s">
        <v>238</v>
      </c>
      <c r="H80" s="14" t="s">
        <v>323</v>
      </c>
      <c r="I80" s="19"/>
      <c r="J80" s="19" t="s">
        <v>242</v>
      </c>
      <c r="K80" s="17"/>
    </row>
    <row r="81" spans="2:12" ht="15.75" customHeight="1">
      <c r="B81" s="14"/>
      <c r="C81" s="160"/>
      <c r="D81" s="135"/>
      <c r="E81" s="136"/>
      <c r="F81" s="136"/>
      <c r="G81" s="135"/>
      <c r="H81" s="135"/>
      <c r="I81" s="168"/>
      <c r="J81" s="184"/>
      <c r="K81" s="160"/>
      <c r="L81" s="17"/>
    </row>
    <row r="82" spans="2:12" ht="15.75" customHeight="1">
      <c r="B82" s="14"/>
      <c r="C82" s="160"/>
      <c r="D82" s="135"/>
      <c r="E82" s="136"/>
      <c r="F82" s="136"/>
      <c r="G82" s="135"/>
      <c r="H82" s="135"/>
      <c r="I82" s="168"/>
      <c r="J82" s="184"/>
      <c r="K82" s="160"/>
      <c r="L82" s="17"/>
    </row>
    <row r="83" spans="2:12" ht="15.75" customHeight="1"/>
    <row r="84" spans="2:12" ht="15.75" customHeight="1"/>
    <row r="85" spans="2:12" ht="15.75" customHeight="1"/>
    <row r="86" spans="2:12" ht="15.75" customHeight="1"/>
    <row r="87" spans="2:12" ht="15.75" customHeight="1"/>
    <row r="88" spans="2:12" ht="15.75" customHeight="1"/>
    <row r="89" spans="2:12" ht="15.75" customHeight="1"/>
    <row r="90" spans="2:12" ht="15.75" customHeight="1"/>
    <row r="91" spans="2:12" ht="15.75" customHeight="1"/>
    <row r="92" spans="2:12" ht="15.75" customHeight="1"/>
    <row r="93" spans="2:12" ht="15.75" customHeight="1"/>
    <row r="94" spans="2:12" ht="15.75" customHeight="1"/>
    <row r="95" spans="2:12" ht="15.75" customHeight="1"/>
    <row r="96" spans="2:12"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sheetData>
  <phoneticPr fontId="44" type="noConversion"/>
  <hyperlinks>
    <hyperlink ref="G13" r:id="rId1"/>
    <hyperlink ref="G4" r:id="rId2"/>
    <hyperlink ref="G5" r:id="rId3"/>
    <hyperlink ref="G37" r:id="rId4"/>
    <hyperlink ref="G78" r:id="rId5"/>
  </hyperlinks>
  <pageMargins left="0.25" right="0.25" top="0.75" bottom="0.75" header="0.3" footer="0.3"/>
  <pageSetup paperSize="5" scale="88" fitToHeight="0" orientation="landscape" r:id="rId6"/>
  <tableParts count="1">
    <tablePart r:id="rId7"/>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N342"/>
  <sheetViews>
    <sheetView showGridLines="0" zoomScaleNormal="100" workbookViewId="0">
      <pane xSplit="3" ySplit="6" topLeftCell="D7" activePane="bottomRight" state="frozen"/>
      <selection pane="topRight"/>
      <selection pane="bottomLeft"/>
      <selection pane="bottomRight" activeCell="H1" sqref="H1:W1"/>
    </sheetView>
  </sheetViews>
  <sheetFormatPr baseColWidth="10" defaultColWidth="9.140625" defaultRowHeight="15" customHeight="1"/>
  <cols>
    <col min="1" max="1" width="2.7109375" style="12" customWidth="1"/>
    <col min="2" max="2" width="19.5703125" style="12" customWidth="1"/>
    <col min="3" max="3" width="25.140625" style="13" customWidth="1"/>
    <col min="4" max="4" width="10.28515625" style="11" customWidth="1"/>
    <col min="5" max="34" width="5" style="11" customWidth="1"/>
    <col min="35" max="35" width="4.7109375" style="10" customWidth="1"/>
    <col min="36" max="36" width="4.7109375" style="11" customWidth="1"/>
    <col min="37" max="38" width="4.7109375" style="12" customWidth="1"/>
    <col min="39" max="39" width="12.42578125" style="12" customWidth="1"/>
    <col min="40" max="16384" width="9.140625" style="12"/>
  </cols>
  <sheetData>
    <row r="1" spans="1:40" s="1" customFormat="1" ht="42" customHeight="1">
      <c r="A1" s="102" t="s">
        <v>473</v>
      </c>
      <c r="B1" s="28"/>
      <c r="C1" s="28"/>
      <c r="D1" s="28"/>
      <c r="E1" s="29"/>
      <c r="F1" s="29"/>
      <c r="G1" s="29"/>
      <c r="H1" s="178"/>
      <c r="I1" s="178" t="s">
        <v>553</v>
      </c>
      <c r="J1" s="178"/>
      <c r="K1" s="178"/>
      <c r="L1" s="178"/>
      <c r="M1" s="178"/>
      <c r="N1" s="178"/>
      <c r="O1" s="178"/>
      <c r="P1" s="178"/>
      <c r="Q1" s="178"/>
      <c r="R1" s="178"/>
      <c r="S1" s="178"/>
      <c r="T1" s="178"/>
      <c r="U1" s="178"/>
      <c r="V1" s="178"/>
      <c r="W1" s="178"/>
      <c r="X1" s="29"/>
      <c r="Y1" s="29"/>
      <c r="Z1" s="29"/>
      <c r="AA1" s="29"/>
      <c r="AB1" s="29"/>
      <c r="AC1" s="28"/>
      <c r="AD1" s="28"/>
      <c r="AE1" s="28"/>
      <c r="AF1" s="28"/>
      <c r="AG1" s="30"/>
      <c r="AH1" s="28"/>
      <c r="AI1" s="28"/>
      <c r="AJ1" s="31"/>
      <c r="AK1" s="28"/>
      <c r="AL1" s="46" t="s">
        <v>117</v>
      </c>
      <c r="AM1" s="47">
        <v>2019</v>
      </c>
    </row>
    <row r="2" spans="1:40" customFormat="1" ht="13.5"/>
    <row r="3" spans="1:40" s="24" customFormat="1" ht="12.75" customHeight="1">
      <c r="B3" s="24" t="s">
        <v>116</v>
      </c>
      <c r="C3" s="126"/>
      <c r="D3" s="40" t="str">
        <f>Code1</f>
        <v>R</v>
      </c>
      <c r="E3" s="56" t="s">
        <v>118</v>
      </c>
      <c r="F3" s="48"/>
      <c r="H3" s="41" t="str">
        <f>Code2</f>
        <v>E</v>
      </c>
      <c r="I3" s="45" t="s">
        <v>119</v>
      </c>
      <c r="L3" s="42" t="str">
        <f>Code3</f>
        <v>N1</v>
      </c>
      <c r="M3" s="45" t="s">
        <v>123</v>
      </c>
      <c r="P3" s="43" t="str">
        <f>Code4</f>
        <v>P</v>
      </c>
      <c r="Q3" s="45" t="s">
        <v>121</v>
      </c>
      <c r="T3" s="44" t="str">
        <f>Code5</f>
        <v>N</v>
      </c>
      <c r="U3" s="45"/>
      <c r="W3"/>
      <c r="X3"/>
      <c r="Y3"/>
      <c r="AD3" s="23"/>
      <c r="AE3" s="23"/>
      <c r="AH3" s="25"/>
      <c r="AI3" s="26"/>
      <c r="AK3" s="27"/>
    </row>
    <row r="4" spans="1:40" customFormat="1" ht="16.5" customHeight="1"/>
    <row r="5" spans="1:40" s="2" customFormat="1" ht="18" customHeight="1">
      <c r="B5" s="176">
        <v>42277</v>
      </c>
      <c r="C5" s="49"/>
      <c r="D5" s="32"/>
      <c r="E5" s="110" t="s">
        <v>95</v>
      </c>
      <c r="F5" s="111" t="s">
        <v>96</v>
      </c>
      <c r="G5" s="112" t="s">
        <v>96</v>
      </c>
      <c r="H5" s="112" t="s">
        <v>96</v>
      </c>
      <c r="I5" s="112" t="s">
        <v>96</v>
      </c>
      <c r="J5" s="112" t="s">
        <v>97</v>
      </c>
      <c r="K5" s="112" t="s">
        <v>97</v>
      </c>
      <c r="L5" s="112" t="s">
        <v>97</v>
      </c>
      <c r="M5" s="112" t="s">
        <v>97</v>
      </c>
      <c r="N5" s="112" t="s">
        <v>98</v>
      </c>
      <c r="O5" s="112" t="s">
        <v>98</v>
      </c>
      <c r="P5" s="112" t="s">
        <v>98</v>
      </c>
      <c r="Q5" s="112" t="s">
        <v>99</v>
      </c>
      <c r="R5" s="112" t="s">
        <v>99</v>
      </c>
      <c r="S5" s="112" t="s">
        <v>99</v>
      </c>
      <c r="T5" s="112" t="s">
        <v>100</v>
      </c>
      <c r="U5" s="112" t="s">
        <v>100</v>
      </c>
      <c r="V5" s="112" t="s">
        <v>100</v>
      </c>
      <c r="W5" s="112" t="s">
        <v>100</v>
      </c>
      <c r="X5" s="112" t="s">
        <v>101</v>
      </c>
      <c r="Y5" s="112" t="s">
        <v>101</v>
      </c>
      <c r="Z5" s="112" t="s">
        <v>101</v>
      </c>
      <c r="AA5" s="112" t="s">
        <v>101</v>
      </c>
      <c r="AB5" s="112" t="s">
        <v>102</v>
      </c>
      <c r="AC5" s="112" t="s">
        <v>103</v>
      </c>
      <c r="AD5" s="112" t="s">
        <v>104</v>
      </c>
      <c r="AE5" s="112" t="s">
        <v>104</v>
      </c>
      <c r="AF5" s="112" t="s">
        <v>104</v>
      </c>
      <c r="AG5" s="112" t="s">
        <v>104</v>
      </c>
      <c r="AH5" s="112" t="s">
        <v>104</v>
      </c>
      <c r="AI5" s="190" t="s">
        <v>28</v>
      </c>
      <c r="AJ5" s="191"/>
      <c r="AK5" s="191"/>
      <c r="AL5" s="191"/>
      <c r="AM5" s="192"/>
    </row>
    <row r="6" spans="1:40" s="6" customFormat="1" ht="22.5" customHeight="1">
      <c r="B6" s="134" t="s">
        <v>451</v>
      </c>
      <c r="C6" s="134" t="s">
        <v>452</v>
      </c>
      <c r="D6" s="113" t="s">
        <v>462</v>
      </c>
      <c r="E6" s="3" t="s">
        <v>19</v>
      </c>
      <c r="F6" s="3" t="s">
        <v>2</v>
      </c>
      <c r="G6" s="3" t="s">
        <v>7</v>
      </c>
      <c r="H6" s="3" t="s">
        <v>13</v>
      </c>
      <c r="I6" s="3" t="s">
        <v>18</v>
      </c>
      <c r="J6" s="3" t="s">
        <v>1</v>
      </c>
      <c r="K6" s="3" t="s">
        <v>5</v>
      </c>
      <c r="L6" s="3" t="s">
        <v>11</v>
      </c>
      <c r="M6" s="3" t="s">
        <v>16</v>
      </c>
      <c r="N6" s="3" t="s">
        <v>8</v>
      </c>
      <c r="O6" s="3" t="s">
        <v>3</v>
      </c>
      <c r="P6" s="3" t="s">
        <v>9</v>
      </c>
      <c r="Q6" s="3" t="s">
        <v>6</v>
      </c>
      <c r="R6" s="3" t="s">
        <v>12</v>
      </c>
      <c r="S6" s="3" t="s">
        <v>17</v>
      </c>
      <c r="T6" s="3" t="s">
        <v>0</v>
      </c>
      <c r="U6" s="3" t="s">
        <v>4</v>
      </c>
      <c r="V6" s="3" t="s">
        <v>10</v>
      </c>
      <c r="W6" s="3" t="s">
        <v>15</v>
      </c>
      <c r="X6" s="3" t="s">
        <v>105</v>
      </c>
      <c r="Y6" s="3" t="s">
        <v>106</v>
      </c>
      <c r="Z6" s="3" t="s">
        <v>14</v>
      </c>
      <c r="AA6" s="3" t="s">
        <v>107</v>
      </c>
      <c r="AB6" s="3" t="s">
        <v>108</v>
      </c>
      <c r="AC6" s="3" t="s">
        <v>109</v>
      </c>
      <c r="AD6" s="3" t="s">
        <v>110</v>
      </c>
      <c r="AE6" s="3" t="s">
        <v>111</v>
      </c>
      <c r="AF6" s="3" t="s">
        <v>112</v>
      </c>
      <c r="AG6" s="3" t="s">
        <v>113</v>
      </c>
      <c r="AH6" s="3" t="s">
        <v>20</v>
      </c>
      <c r="AI6" s="81" t="s">
        <v>25</v>
      </c>
      <c r="AJ6" s="57" t="s">
        <v>26</v>
      </c>
      <c r="AK6" s="58" t="s">
        <v>81</v>
      </c>
      <c r="AL6" s="59" t="s">
        <v>21</v>
      </c>
      <c r="AM6" s="156" t="s">
        <v>122</v>
      </c>
      <c r="AN6" s="5"/>
    </row>
    <row r="7" spans="1:40" s="6" customFormat="1" ht="16.5" customHeight="1">
      <c r="A7" s="6">
        <v>1</v>
      </c>
      <c r="B7" s="134" t="s">
        <v>321</v>
      </c>
      <c r="C7" s="134" t="s">
        <v>322</v>
      </c>
      <c r="D7" s="16">
        <v>41163</v>
      </c>
      <c r="E7" s="16"/>
      <c r="F7" s="21"/>
      <c r="G7" s="21"/>
      <c r="H7" s="21"/>
      <c r="I7" s="21"/>
      <c r="J7" s="21"/>
      <c r="K7" s="21"/>
      <c r="L7" s="21"/>
      <c r="M7" s="21"/>
      <c r="N7" s="21"/>
      <c r="O7" s="21"/>
      <c r="P7" s="21"/>
      <c r="Q7" s="21"/>
      <c r="R7" s="21"/>
      <c r="S7" s="21"/>
      <c r="T7" s="21"/>
      <c r="U7" s="21"/>
      <c r="V7" s="21"/>
      <c r="W7" s="21"/>
      <c r="X7" s="21"/>
      <c r="Y7" s="21"/>
      <c r="Z7" s="21"/>
      <c r="AA7" s="21"/>
      <c r="AB7" s="21"/>
      <c r="AC7" s="21"/>
      <c r="AD7" s="21"/>
      <c r="AE7" s="21"/>
      <c r="AF7" s="22"/>
      <c r="AG7" s="20"/>
      <c r="AH7" s="20"/>
      <c r="AI7" s="7">
        <f>COUNTIF(ParticipationSeptembre162133[[#This Row],[f. de nacimiento]:[30]],Code1)</f>
        <v>0</v>
      </c>
      <c r="AJ7" s="38">
        <f>COUNTIF(ParticipationSeptembre162133[[#This Row],[f. de nacimiento]:[30]],Code2)</f>
        <v>0</v>
      </c>
      <c r="AK7" s="38">
        <f>COUNTIF(ParticipationSeptembre162133[[#This Row],[f. de nacimiento]:[30]],Code3)</f>
        <v>0</v>
      </c>
      <c r="AL7" s="38">
        <f>COUNTIF(ParticipationSeptembre162133[[#This Row],[f. de nacimiento]:[30]],Code4)</f>
        <v>0</v>
      </c>
      <c r="AM7" s="7">
        <f>SUM(ParticipationSeptembre162133[[#This Row],[E]:[N1]])</f>
        <v>0</v>
      </c>
      <c r="AN7" s="5"/>
    </row>
    <row r="8" spans="1:40" s="6" customFormat="1" ht="16.5" customHeight="1">
      <c r="A8" s="6">
        <f>1+A7</f>
        <v>2</v>
      </c>
      <c r="B8" s="134" t="s">
        <v>268</v>
      </c>
      <c r="C8" s="134" t="s">
        <v>269</v>
      </c>
      <c r="D8" s="16">
        <v>40723</v>
      </c>
      <c r="E8" s="16"/>
      <c r="F8" s="21"/>
      <c r="G8" s="21"/>
      <c r="H8" s="21"/>
      <c r="I8" s="21"/>
      <c r="J8" s="21"/>
      <c r="K8" s="21"/>
      <c r="L8" s="21"/>
      <c r="M8" s="21"/>
      <c r="N8" s="21"/>
      <c r="O8" s="21"/>
      <c r="P8" s="21"/>
      <c r="Q8" s="21"/>
      <c r="R8" s="21"/>
      <c r="S8" s="21"/>
      <c r="T8" s="21"/>
      <c r="U8" s="21"/>
      <c r="V8" s="21"/>
      <c r="W8" s="21"/>
      <c r="X8" s="21"/>
      <c r="Y8" s="21"/>
      <c r="Z8" s="21"/>
      <c r="AA8" s="21"/>
      <c r="AB8" s="21"/>
      <c r="AC8" s="21"/>
      <c r="AD8" s="21"/>
      <c r="AE8" s="21"/>
      <c r="AF8" s="22"/>
      <c r="AG8" s="20"/>
      <c r="AH8" s="20"/>
      <c r="AI8" s="7">
        <f>COUNTIF(ParticipationSeptembre162133[[#This Row],[f. de nacimiento]:[30]],Code1)</f>
        <v>0</v>
      </c>
      <c r="AJ8" s="38">
        <f>COUNTIF(ParticipationSeptembre162133[[#This Row],[f. de nacimiento]:[30]],Code2)</f>
        <v>0</v>
      </c>
      <c r="AK8" s="38">
        <f>COUNTIF(ParticipationSeptembre162133[[#This Row],[f. de nacimiento]:[30]],Code3)</f>
        <v>0</v>
      </c>
      <c r="AL8" s="38">
        <f>COUNTIF(ParticipationSeptembre162133[[#This Row],[f. de nacimiento]:[30]],Code4)</f>
        <v>0</v>
      </c>
      <c r="AM8" s="7">
        <f>SUM(ParticipationSeptembre162133[[#This Row],[E]:[N1]])</f>
        <v>0</v>
      </c>
      <c r="AN8" s="5"/>
    </row>
    <row r="9" spans="1:40" s="9" customFormat="1" ht="16.5" customHeight="1">
      <c r="A9" s="6">
        <f t="shared" ref="A9:A10" si="0">1+A8</f>
        <v>3</v>
      </c>
      <c r="B9" s="134" t="s">
        <v>128</v>
      </c>
      <c r="C9" s="134" t="s">
        <v>129</v>
      </c>
      <c r="D9" s="16">
        <v>40597</v>
      </c>
      <c r="E9" s="16"/>
      <c r="F9" s="21"/>
      <c r="G9" s="21"/>
      <c r="H9" s="21"/>
      <c r="I9" s="21"/>
      <c r="J9" s="21"/>
      <c r="K9" s="21"/>
      <c r="L9" s="21"/>
      <c r="M9" s="21"/>
      <c r="N9" s="21"/>
      <c r="O9" s="21"/>
      <c r="P9" s="21"/>
      <c r="Q9" s="21"/>
      <c r="R9" s="21"/>
      <c r="S9" s="21"/>
      <c r="T9" s="21"/>
      <c r="U9" s="21"/>
      <c r="V9" s="21"/>
      <c r="W9" s="21"/>
      <c r="X9" s="21"/>
      <c r="Y9" s="21"/>
      <c r="Z9" s="21"/>
      <c r="AA9" s="21"/>
      <c r="AB9" s="21"/>
      <c r="AC9" s="21"/>
      <c r="AD9" s="21"/>
      <c r="AE9" s="21"/>
      <c r="AF9" s="22"/>
      <c r="AG9" s="20"/>
      <c r="AH9" s="20"/>
      <c r="AI9" s="7">
        <f>COUNTIF(ParticipationSeptembre162133[[#This Row],[f. de nacimiento]:[30]],Code1)</f>
        <v>0</v>
      </c>
      <c r="AJ9" s="38">
        <f>COUNTIF(ParticipationSeptembre162133[[#This Row],[f. de nacimiento]:[30]],Code2)</f>
        <v>0</v>
      </c>
      <c r="AK9" s="38">
        <f>COUNTIF(ParticipationSeptembre162133[[#This Row],[f. de nacimiento]:[30]],Code3)</f>
        <v>0</v>
      </c>
      <c r="AL9" s="38">
        <f>COUNTIF(ParticipationSeptembre162133[[#This Row],[f. de nacimiento]:[30]],Code4)</f>
        <v>0</v>
      </c>
      <c r="AM9" s="7">
        <f>SUM(ParticipationSeptembre162133[[#This Row],[E]:[N1]])</f>
        <v>0</v>
      </c>
      <c r="AN9" s="8"/>
    </row>
    <row r="10" spans="1:40" ht="16.5" customHeight="1">
      <c r="A10" s="6">
        <f t="shared" si="0"/>
        <v>4</v>
      </c>
      <c r="B10"/>
      <c r="C10"/>
      <c r="D10" s="16"/>
      <c r="E10" s="16"/>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2"/>
      <c r="AG10" s="20"/>
      <c r="AH10" s="20"/>
      <c r="AI10" s="7">
        <f>COUNTIF(ParticipationSeptembre162133[[#This Row],[f. de nacimiento]:[30]],Code1)</f>
        <v>0</v>
      </c>
      <c r="AJ10" s="38">
        <f>COUNTIF(ParticipationSeptembre162133[[#This Row],[f. de nacimiento]:[30]],Code2)</f>
        <v>0</v>
      </c>
      <c r="AK10" s="38">
        <f>COUNTIF(ParticipationSeptembre162133[[#This Row],[f. de nacimiento]:[30]],Code3)</f>
        <v>0</v>
      </c>
      <c r="AL10" s="38">
        <f>COUNTIF(ParticipationSeptembre162133[[#This Row],[f. de nacimiento]:[30]],Code4)</f>
        <v>0</v>
      </c>
      <c r="AM10" s="7">
        <f>SUM(ParticipationSeptembre162133[[#This Row],[E]:[N1]])</f>
        <v>0</v>
      </c>
      <c r="AN10" s="11"/>
    </row>
    <row r="11" spans="1:40" ht="16.5" customHeight="1">
      <c r="A11" s="6"/>
      <c r="B11"/>
      <c r="C11"/>
      <c r="D11" s="16"/>
      <c r="E11" s="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8"/>
      <c r="AI11" s="11">
        <f>COUNTIF(ParticipationSeptembre162133[[#This Row],[f. de nacimiento]:[30]],Code1)</f>
        <v>0</v>
      </c>
      <c r="AJ11" s="120">
        <f>COUNTIF(ParticipationSeptembre162133[[#This Row],[f. de nacimiento]:[30]],Code2)</f>
        <v>0</v>
      </c>
      <c r="AK11" s="120">
        <f>COUNTIF(ParticipationSeptembre162133[[#This Row],[f. de nacimiento]:[30]],Code3)</f>
        <v>0</v>
      </c>
      <c r="AL11" s="120">
        <f>COUNTIF(ParticipationSeptembre162133[[#This Row],[f. de nacimiento]:[30]],Code4)</f>
        <v>0</v>
      </c>
      <c r="AM11" s="12">
        <f>SUM(ParticipationSeptembre162133[[#This Row],[E]:[N1]])</f>
        <v>0</v>
      </c>
    </row>
    <row r="12" spans="1:40" ht="16.5" customHeight="1">
      <c r="B12" s="14"/>
      <c r="C12" s="16"/>
      <c r="D12" s="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8"/>
      <c r="AI12" s="11">
        <f>COUNTIF(ParticipationSeptembre162133[[#This Row],[f. de nacimiento]:[30]],Code1)</f>
        <v>0</v>
      </c>
      <c r="AJ12" s="120">
        <f>COUNTIF(ParticipationSeptembre162133[[#This Row],[f. de nacimiento]:[30]],Code2)</f>
        <v>0</v>
      </c>
      <c r="AK12" s="120">
        <f>COUNTIF(ParticipationSeptembre162133[[#This Row],[f. de nacimiento]:[30]],Code3)</f>
        <v>0</v>
      </c>
      <c r="AL12" s="120">
        <f>COUNTIF(ParticipationSeptembre162133[[#This Row],[f. de nacimiento]:[30]],Code4)</f>
        <v>0</v>
      </c>
      <c r="AM12" s="12">
        <f>SUM(ParticipationSeptembre162133[[#This Row],[E]:[N1]])</f>
        <v>0</v>
      </c>
    </row>
    <row r="13" spans="1:40" ht="16.5" customHeight="1">
      <c r="B13" s="104"/>
      <c r="C13" s="105" t="s">
        <v>78</v>
      </c>
      <c r="D13" s="107">
        <f>COUNTIF(ParticipationSeptembre162133[f. de nacimiento],"N1")+COUNTIF(ParticipationSeptembre162133[f. de nacimiento],"E")</f>
        <v>0</v>
      </c>
      <c r="E13" s="107">
        <f>COUNTIF(ParticipationSeptembre162133[29],"N1")+COUNTIF(ParticipationSeptembre162133[29],"E")</f>
        <v>0</v>
      </c>
      <c r="F13" s="107">
        <f>COUNTIF(ParticipationSeptembre162133[6],"N1")+COUNTIF(ParticipationSeptembre162133[6],"E")</f>
        <v>0</v>
      </c>
      <c r="G13" s="107">
        <f>COUNTIF(ParticipationSeptembre162133[13],"N1")+COUNTIF(ParticipationSeptembre162133[13],"E")</f>
        <v>0</v>
      </c>
      <c r="H13" s="107">
        <f>COUNTIF(ParticipationSeptembre162133[20],"N1")+COUNTIF(ParticipationSeptembre162133[20],"E")</f>
        <v>0</v>
      </c>
      <c r="I13" s="107">
        <f>COUNTIF(ParticipationSeptembre162133[27],"N1")+COUNTIF(ParticipationSeptembre162133[27],"E")</f>
        <v>0</v>
      </c>
      <c r="J13" s="107">
        <f>COUNTIF(ParticipationSeptembre162133[3],"N1")+COUNTIF(ParticipationSeptembre162133[3],"E")</f>
        <v>0</v>
      </c>
      <c r="K13" s="107">
        <f>COUNTIF(ParticipationSeptembre162133[10],"N1")+COUNTIF(ParticipationSeptembre162133[10],"E")</f>
        <v>0</v>
      </c>
      <c r="L13" s="107">
        <f>COUNTIF(ParticipationSeptembre162133[17],"N1")+COUNTIF(ParticipationSeptembre162133[17],"E")</f>
        <v>0</v>
      </c>
      <c r="M13" s="107">
        <f>COUNTIF(ParticipationSeptembre162133[24],"N1")+COUNTIF(ParticipationSeptembre162133[24],"E")</f>
        <v>0</v>
      </c>
      <c r="N13" s="107">
        <f>COUNTIF(ParticipationSeptembre162133[14],"N1")+COUNTIF(ParticipationSeptembre162133[14],"E")</f>
        <v>0</v>
      </c>
      <c r="O13" s="107">
        <f>COUNTIF(ParticipationSeptembre162133[8],"N1")+COUNTIF(ParticipationSeptembre162133[8],"E")</f>
        <v>0</v>
      </c>
      <c r="P13" s="107">
        <f>COUNTIF(ParticipationSeptembre162133[15],"N1")+COUNTIF(ParticipationSeptembre162133[15],"E")</f>
        <v>0</v>
      </c>
      <c r="Q13" s="107">
        <f>COUNTIF(ParticipationSeptembre162133[12],"N1")+COUNTIF(ParticipationSeptembre162133[12],"E")</f>
        <v>0</v>
      </c>
      <c r="R13" s="107">
        <f>COUNTIF(ParticipationSeptembre162133[19],"N1")+COUNTIF(ParticipationSeptembre162133[19],"E")</f>
        <v>0</v>
      </c>
      <c r="S13" s="107">
        <f>COUNTIF(ParticipationSeptembre162133[26],"N1")+COUNTIF(ParticipationSeptembre162133[26],"E")</f>
        <v>0</v>
      </c>
      <c r="T13" s="107">
        <f>COUNTIF(ParticipationSeptembre162133[2],"N1")+COUNTIF(ParticipationSeptembre162133[2],"E")</f>
        <v>0</v>
      </c>
      <c r="U13" s="107">
        <f>COUNTIF(ParticipationSeptembre162133[9],"N1")+COUNTIF(ParticipationSeptembre162133[9],"E")</f>
        <v>0</v>
      </c>
      <c r="V13" s="107">
        <f>COUNTIF(ParticipationSeptembre162133[16],"N1")+COUNTIF(ParticipationSeptembre162133[16],"E")</f>
        <v>0</v>
      </c>
      <c r="W13" s="107">
        <f>COUNTIF(ParticipationSeptembre162133[23],"N1")+COUNTIF(ParticipationSeptembre162133[23],"E")</f>
        <v>0</v>
      </c>
      <c r="X13" s="107">
        <f>COUNTIF(ParticipationSeptembre162133[*8],"N1")+COUNTIF(ParticipationSeptembre162133[*8],"E")</f>
        <v>0</v>
      </c>
      <c r="Y13" s="107">
        <f>COUNTIF(ParticipationSeptembre162133[*15],"N1")+COUNTIF(ParticipationSeptembre162133[*15],"E")</f>
        <v>0</v>
      </c>
      <c r="Z13" s="107">
        <f>COUNTIF(ParticipationSeptembre162133[22],"N1")+COUNTIF(ParticipationSeptembre162133[22],"E")</f>
        <v>0</v>
      </c>
      <c r="AA13" s="107">
        <f>COUNTIF(ParticipationSeptembre162133[*29],"N1")+COUNTIF(ParticipationSeptembre162133[*29],"E")</f>
        <v>0</v>
      </c>
      <c r="AB13" s="107">
        <f>COUNTIF(ParticipationSeptembre162133[*19],"N1")+COUNTIF(ParticipationSeptembre162133[*19],"E")</f>
        <v>0</v>
      </c>
      <c r="AC13" s="107">
        <f>COUNTIF(ParticipationSeptembre162133[*26],"N1")+COUNTIF(ParticipationSeptembre162133[*26],"E")</f>
        <v>0</v>
      </c>
      <c r="AD13" s="107">
        <f>COUNTIF(ParticipationSeptembre162133[*3],"N1")+COUNTIF(ParticipationSeptembre162133[*3],"E")</f>
        <v>0</v>
      </c>
      <c r="AE13" s="107">
        <f>COUNTIF(ParticipationSeptembre162133[*10],"N1")+COUNTIF(ParticipationSeptembre162133[*10],"E")</f>
        <v>0</v>
      </c>
      <c r="AF13" s="107">
        <f>COUNTIF(ParticipationSeptembre162133[*17],"N1")+COUNTIF(ParticipationSeptembre162133[*17],"E")</f>
        <v>0</v>
      </c>
      <c r="AG13" s="107">
        <f>COUNTIF(ParticipationSeptembre162133[*24],"N1")+COUNTIF(ParticipationSeptembre162133[*24],"E")</f>
        <v>0</v>
      </c>
      <c r="AH13" s="107">
        <f>COUNTIF(ParticipationSeptembre162133[30],"N1")+COUNTIF(ParticipationSeptembre162133[30],"E")</f>
        <v>0</v>
      </c>
      <c r="AI13" s="107">
        <f>SUBTOTAL(109,ParticipationSeptembre162133[R])</f>
        <v>0</v>
      </c>
      <c r="AJ13" s="107">
        <f>SUBTOTAL(109,ParticipationSeptembre162133[E])</f>
        <v>0</v>
      </c>
      <c r="AK13" s="107">
        <f>SUBTOTAL(109,ParticipationSeptembre162133[N1])</f>
        <v>0</v>
      </c>
      <c r="AL13" s="107">
        <f>SUBTOTAL(109,ParticipationSeptembre162133[P])</f>
        <v>0</v>
      </c>
      <c r="AM13" s="106"/>
    </row>
    <row r="14" spans="1:40" ht="16.5" customHeight="1"/>
    <row r="15" spans="1:40" ht="16.5" customHeight="1"/>
    <row r="16" spans="1:40"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sheetData>
  <sheetProtection formatCells="0" formatColumns="0" formatRows="0" insertColumns="0" insertRows="0" insertHyperlinks="0" deleteColumns="0" deleteRows="0" sort="0" autoFilter="0" pivotTables="0"/>
  <mergeCells count="1">
    <mergeCell ref="AI5:AM5"/>
  </mergeCells>
  <conditionalFormatting sqref="D7:AI12">
    <cfRule type="expression" dxfId="173" priority="1" stopIfTrue="1">
      <formula>D7=Code2</formula>
    </cfRule>
  </conditionalFormatting>
  <conditionalFormatting sqref="D7:AH12">
    <cfRule type="expression" dxfId="172" priority="2" stopIfTrue="1">
      <formula>D7=Code5</formula>
    </cfRule>
    <cfRule type="expression" dxfId="171" priority="3" stopIfTrue="1">
      <formula>D7=Code4</formula>
    </cfRule>
    <cfRule type="expression" dxfId="170" priority="4" stopIfTrue="1">
      <formula>D7=Code3</formula>
    </cfRule>
    <cfRule type="expression" dxfId="169" priority="5" stopIfTrue="1">
      <formula>D7=Code1</formula>
    </cfRule>
  </conditionalFormatting>
  <conditionalFormatting sqref="AM7:AM12">
    <cfRule type="dataBar" priority="250">
      <dataBar>
        <cfvo type="min"/>
        <cfvo type="num" val="31"/>
        <color theme="4"/>
      </dataBar>
      <extLst>
        <ext xmlns:x14="http://schemas.microsoft.com/office/spreadsheetml/2009/9/main" uri="{B025F937-C7B1-47D3-B67F-A62EFF666E3E}">
          <x14:id>{A575B80B-CD2A-4763-9977-85FB237AB468}</x14:id>
        </ext>
      </extLst>
    </cfRule>
  </conditionalFormatting>
  <dataValidations count="1">
    <dataValidation type="list" errorStyle="warning" allowBlank="1" showInputMessage="1" showErrorMessage="1" errorTitle="Whoops!" error="The Student ID you entered isn't on the Student List sheet. You can click Yes to use what you entered but that Student ID won't be available on the Student Attendance Report sheet." sqref="B7:B12">
      <formula1>IDÉtudiant</formula1>
    </dataValidation>
  </dataValidations>
  <printOptions horizontalCentered="1"/>
  <pageMargins left="0.51181102362204722" right="0.51181102362204722" top="0.74803149606299213" bottom="0.74803149606299213" header="0.31496062992125984" footer="0.31496062992125984"/>
  <pageSetup paperSize="5" scale="70" fitToHeight="0" orientation="landscape" r:id="rId1"/>
  <headerFooter>
    <oddHeader>&amp;CMisión Santa Teresa de Avila
Lista de presencia de los grupos de catequesis
2019-2020</oddHeader>
  </headerFooter>
  <ignoredErrors>
    <ignoredError sqref="B7:D9" listDataValidation="1"/>
  </ignoredError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A575B80B-CD2A-4763-9977-85FB237AB468}">
            <x14:dataBar minLength="0" maxLength="100" border="1" negativeBarBorderColorSameAsPositive="0">
              <x14:cfvo type="autoMin"/>
              <x14:cfvo type="num">
                <xm:f>31</xm:f>
              </x14:cfvo>
              <x14:borderColor theme="4"/>
              <x14:negativeFillColor rgb="FFFF0000"/>
              <x14:negativeBorderColor rgb="FFFF0000"/>
              <x14:axisColor rgb="FF000000"/>
            </x14:dataBar>
          </x14:cfRule>
          <xm:sqref>AM7:AM12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N345"/>
  <sheetViews>
    <sheetView showGridLines="0" zoomScaleNormal="100" workbookViewId="0">
      <pane xSplit="3" ySplit="6" topLeftCell="D13" activePane="bottomRight" state="frozen"/>
      <selection pane="topRight"/>
      <selection pane="bottomLeft"/>
      <selection pane="bottomRight" activeCell="B5" sqref="B5"/>
    </sheetView>
  </sheetViews>
  <sheetFormatPr baseColWidth="10" defaultColWidth="9.140625" defaultRowHeight="15" customHeight="1"/>
  <cols>
    <col min="1" max="1" width="2.7109375" style="12" customWidth="1"/>
    <col min="2" max="2" width="19.5703125" style="12" customWidth="1"/>
    <col min="3" max="3" width="24.28515625" style="13" customWidth="1"/>
    <col min="4" max="4" width="12" style="11" customWidth="1"/>
    <col min="5" max="34" width="5" style="11" customWidth="1"/>
    <col min="35" max="35" width="4.7109375" style="10" customWidth="1"/>
    <col min="36" max="36" width="4.7109375" style="11" customWidth="1"/>
    <col min="37" max="38" width="4.7109375" style="12" customWidth="1"/>
    <col min="39" max="39" width="9.140625" style="12" customWidth="1"/>
    <col min="40" max="16384" width="9.140625" style="12"/>
  </cols>
  <sheetData>
    <row r="1" spans="1:40" s="1" customFormat="1" ht="42" customHeight="1">
      <c r="A1" s="102" t="s">
        <v>473</v>
      </c>
      <c r="B1" s="28"/>
      <c r="C1" s="28"/>
      <c r="D1" s="170"/>
      <c r="E1" s="171"/>
      <c r="F1" s="171"/>
      <c r="G1" s="171"/>
      <c r="H1" s="171"/>
      <c r="I1" s="171" t="s">
        <v>474</v>
      </c>
      <c r="J1" s="171"/>
      <c r="K1" s="171"/>
      <c r="L1" s="171"/>
      <c r="M1" s="171"/>
      <c r="N1" s="171"/>
      <c r="O1" s="171"/>
      <c r="P1" s="171"/>
      <c r="Q1" s="171"/>
      <c r="R1" s="171"/>
      <c r="S1" s="171"/>
      <c r="T1" s="171"/>
      <c r="U1" s="171"/>
      <c r="V1" s="29"/>
      <c r="W1" s="29"/>
      <c r="X1" s="29"/>
      <c r="Y1" s="29"/>
      <c r="Z1" s="29"/>
      <c r="AA1" s="29"/>
      <c r="AB1" s="29"/>
      <c r="AC1" s="28"/>
      <c r="AD1" s="28"/>
      <c r="AE1" s="28"/>
      <c r="AF1" s="28"/>
      <c r="AG1" s="30"/>
      <c r="AH1" s="28"/>
      <c r="AI1" s="28"/>
      <c r="AJ1" s="31"/>
      <c r="AK1" s="28"/>
      <c r="AL1" s="46" t="s">
        <v>117</v>
      </c>
      <c r="AM1" s="47">
        <v>2019</v>
      </c>
    </row>
    <row r="2" spans="1:40" customFormat="1" ht="13.5"/>
    <row r="3" spans="1:40" s="24" customFormat="1" ht="12.75" customHeight="1">
      <c r="B3" s="24" t="s">
        <v>584</v>
      </c>
      <c r="C3" s="126"/>
      <c r="D3" s="40" t="str">
        <f>Code1</f>
        <v>R</v>
      </c>
      <c r="E3" s="56" t="s">
        <v>118</v>
      </c>
      <c r="F3" s="48"/>
      <c r="H3" s="41" t="str">
        <f>Code2</f>
        <v>E</v>
      </c>
      <c r="I3" s="45" t="s">
        <v>119</v>
      </c>
      <c r="L3" s="42" t="str">
        <f>Code3</f>
        <v>N1</v>
      </c>
      <c r="M3" s="45" t="s">
        <v>123</v>
      </c>
      <c r="P3" s="43" t="str">
        <f>Code4</f>
        <v>P</v>
      </c>
      <c r="Q3" s="45" t="s">
        <v>121</v>
      </c>
      <c r="T3" s="44" t="str">
        <f>Code5</f>
        <v>N</v>
      </c>
      <c r="U3" s="45"/>
      <c r="W3"/>
      <c r="X3"/>
      <c r="Y3"/>
      <c r="AD3" s="23"/>
      <c r="AE3" s="23"/>
      <c r="AH3" s="25"/>
      <c r="AI3" s="26"/>
      <c r="AK3" s="27"/>
    </row>
    <row r="4" spans="1:40" customFormat="1" ht="16.5" customHeight="1"/>
    <row r="5" spans="1:40" s="2" customFormat="1" ht="18" customHeight="1">
      <c r="B5" s="176">
        <v>42277</v>
      </c>
      <c r="C5" s="49"/>
      <c r="D5" s="32"/>
      <c r="E5" s="110" t="s">
        <v>95</v>
      </c>
      <c r="F5" s="111" t="s">
        <v>96</v>
      </c>
      <c r="G5" s="112" t="s">
        <v>96</v>
      </c>
      <c r="H5" s="112" t="s">
        <v>96</v>
      </c>
      <c r="I5" s="112" t="s">
        <v>96</v>
      </c>
      <c r="J5" s="112" t="s">
        <v>97</v>
      </c>
      <c r="K5" s="112" t="s">
        <v>97</v>
      </c>
      <c r="L5" s="112" t="s">
        <v>97</v>
      </c>
      <c r="M5" s="112" t="s">
        <v>97</v>
      </c>
      <c r="N5" s="112" t="s">
        <v>98</v>
      </c>
      <c r="O5" s="112" t="s">
        <v>98</v>
      </c>
      <c r="P5" s="112" t="s">
        <v>98</v>
      </c>
      <c r="Q5" s="112" t="s">
        <v>99</v>
      </c>
      <c r="R5" s="112" t="s">
        <v>99</v>
      </c>
      <c r="S5" s="112" t="s">
        <v>99</v>
      </c>
      <c r="T5" s="112" t="s">
        <v>100</v>
      </c>
      <c r="U5" s="112" t="s">
        <v>100</v>
      </c>
      <c r="V5" s="112" t="s">
        <v>100</v>
      </c>
      <c r="W5" s="112" t="s">
        <v>100</v>
      </c>
      <c r="X5" s="112" t="s">
        <v>101</v>
      </c>
      <c r="Y5" s="112" t="s">
        <v>101</v>
      </c>
      <c r="Z5" s="112" t="s">
        <v>101</v>
      </c>
      <c r="AA5" s="112" t="s">
        <v>101</v>
      </c>
      <c r="AB5" s="112" t="s">
        <v>102</v>
      </c>
      <c r="AC5" s="112" t="s">
        <v>103</v>
      </c>
      <c r="AD5" s="112" t="s">
        <v>104</v>
      </c>
      <c r="AE5" s="112" t="s">
        <v>104</v>
      </c>
      <c r="AF5" s="112" t="s">
        <v>104</v>
      </c>
      <c r="AG5" s="112" t="s">
        <v>104</v>
      </c>
      <c r="AH5" s="112" t="s">
        <v>104</v>
      </c>
      <c r="AI5" s="190" t="s">
        <v>28</v>
      </c>
      <c r="AJ5" s="191"/>
      <c r="AK5" s="191"/>
      <c r="AL5" s="191"/>
      <c r="AM5" s="192"/>
    </row>
    <row r="6" spans="1:40" s="6" customFormat="1" ht="33.75" customHeight="1">
      <c r="B6" t="s">
        <v>451</v>
      </c>
      <c r="C6" t="s">
        <v>452</v>
      </c>
      <c r="D6" s="158" t="s">
        <v>552</v>
      </c>
      <c r="E6" s="3" t="s">
        <v>19</v>
      </c>
      <c r="F6" s="3" t="s">
        <v>2</v>
      </c>
      <c r="G6" s="3" t="s">
        <v>7</v>
      </c>
      <c r="H6" s="3" t="s">
        <v>13</v>
      </c>
      <c r="I6" s="3" t="s">
        <v>18</v>
      </c>
      <c r="J6" s="3" t="s">
        <v>1</v>
      </c>
      <c r="K6" s="3" t="s">
        <v>5</v>
      </c>
      <c r="L6" s="3" t="s">
        <v>11</v>
      </c>
      <c r="M6" s="3" t="s">
        <v>16</v>
      </c>
      <c r="N6" s="3" t="s">
        <v>8</v>
      </c>
      <c r="O6" s="3" t="s">
        <v>3</v>
      </c>
      <c r="P6" s="3" t="s">
        <v>9</v>
      </c>
      <c r="Q6" s="3" t="s">
        <v>6</v>
      </c>
      <c r="R6" s="3" t="s">
        <v>12</v>
      </c>
      <c r="S6" s="3" t="s">
        <v>17</v>
      </c>
      <c r="T6" s="3" t="s">
        <v>0</v>
      </c>
      <c r="U6" s="3" t="s">
        <v>4</v>
      </c>
      <c r="V6" s="3" t="s">
        <v>10</v>
      </c>
      <c r="W6" s="3" t="s">
        <v>15</v>
      </c>
      <c r="X6" s="3" t="s">
        <v>105</v>
      </c>
      <c r="Y6" s="3" t="s">
        <v>106</v>
      </c>
      <c r="Z6" s="3" t="s">
        <v>14</v>
      </c>
      <c r="AA6" s="3" t="s">
        <v>107</v>
      </c>
      <c r="AB6" s="3" t="s">
        <v>108</v>
      </c>
      <c r="AC6" s="3" t="s">
        <v>109</v>
      </c>
      <c r="AD6" s="3" t="s">
        <v>110</v>
      </c>
      <c r="AE6" s="3" t="s">
        <v>111</v>
      </c>
      <c r="AF6" s="3" t="s">
        <v>112</v>
      </c>
      <c r="AG6" s="3" t="s">
        <v>113</v>
      </c>
      <c r="AH6" s="3" t="s">
        <v>20</v>
      </c>
      <c r="AI6" s="81" t="s">
        <v>25</v>
      </c>
      <c r="AJ6" s="57" t="s">
        <v>26</v>
      </c>
      <c r="AK6" s="58" t="s">
        <v>81</v>
      </c>
      <c r="AL6" s="59" t="s">
        <v>21</v>
      </c>
      <c r="AM6" s="156" t="s">
        <v>122</v>
      </c>
      <c r="AN6" s="5"/>
    </row>
    <row r="7" spans="1:40" s="6" customFormat="1" ht="16.5" customHeight="1">
      <c r="A7" s="6">
        <v>1</v>
      </c>
      <c r="B7" s="134" t="s">
        <v>236</v>
      </c>
      <c r="C7" s="134" t="s">
        <v>237</v>
      </c>
      <c r="D7" s="16">
        <v>39642</v>
      </c>
      <c r="E7" s="16"/>
      <c r="F7" s="21"/>
      <c r="G7" s="21"/>
      <c r="H7" s="21"/>
      <c r="I7" s="21"/>
      <c r="J7" s="21"/>
      <c r="K7" s="21"/>
      <c r="L7" s="21"/>
      <c r="M7" s="21"/>
      <c r="N7" s="21"/>
      <c r="O7" s="21"/>
      <c r="P7" s="21"/>
      <c r="Q7" s="21"/>
      <c r="R7" s="21"/>
      <c r="S7" s="21"/>
      <c r="T7" s="21"/>
      <c r="U7" s="21"/>
      <c r="V7" s="21"/>
      <c r="W7" s="21"/>
      <c r="X7" s="21"/>
      <c r="Y7" s="21"/>
      <c r="Z7" s="21"/>
      <c r="AA7" s="21"/>
      <c r="AB7" s="21"/>
      <c r="AC7" s="21"/>
      <c r="AD7" s="21"/>
      <c r="AE7" s="21"/>
      <c r="AF7" s="22"/>
      <c r="AG7" s="20"/>
      <c r="AH7" s="20"/>
      <c r="AI7" s="7">
        <f>COUNTIF(ParticipationSeptembre1621[[#This Row],[fecha de nacimiento]:[30]],Code1)</f>
        <v>0</v>
      </c>
      <c r="AJ7" s="38">
        <f>COUNTIF(ParticipationSeptembre1621[[#This Row],[fecha de nacimiento]:[30]],Code2)</f>
        <v>0</v>
      </c>
      <c r="AK7" s="38">
        <f>COUNTIF(ParticipationSeptembre1621[[#This Row],[fecha de nacimiento]:[30]],Code3)</f>
        <v>0</v>
      </c>
      <c r="AL7" s="38">
        <f>COUNTIF(ParticipationSeptembre1621[[#This Row],[fecha de nacimiento]:[30]],Code4)</f>
        <v>0</v>
      </c>
      <c r="AM7" s="7">
        <f>SUM(ParticipationSeptembre1621[[#This Row],[E]:[N1]])</f>
        <v>0</v>
      </c>
      <c r="AN7" s="5"/>
    </row>
    <row r="8" spans="1:40" s="6" customFormat="1" ht="16.5" customHeight="1">
      <c r="A8" s="6">
        <f>1+A7</f>
        <v>2</v>
      </c>
      <c r="B8" s="134" t="s">
        <v>264</v>
      </c>
      <c r="C8" s="134" t="s">
        <v>259</v>
      </c>
      <c r="D8" s="16">
        <v>40136</v>
      </c>
      <c r="E8" s="16"/>
      <c r="F8" s="21"/>
      <c r="G8" s="21"/>
      <c r="H8" s="21"/>
      <c r="I8" s="21"/>
      <c r="J8" s="21"/>
      <c r="K8" s="21"/>
      <c r="L8" s="21"/>
      <c r="M8" s="21"/>
      <c r="N8" s="21"/>
      <c r="O8" s="21"/>
      <c r="P8" s="21"/>
      <c r="Q8" s="21"/>
      <c r="R8" s="21"/>
      <c r="S8" s="21"/>
      <c r="T8" s="21"/>
      <c r="U8" s="21"/>
      <c r="V8" s="21"/>
      <c r="W8" s="21"/>
      <c r="X8" s="21"/>
      <c r="Y8" s="21"/>
      <c r="Z8" s="21"/>
      <c r="AA8" s="21"/>
      <c r="AB8" s="21"/>
      <c r="AC8" s="21"/>
      <c r="AD8" s="21"/>
      <c r="AE8" s="21"/>
      <c r="AF8" s="22"/>
      <c r="AG8" s="20"/>
      <c r="AH8" s="20"/>
      <c r="AI8" s="7">
        <f>COUNTIF(ParticipationSeptembre1621[[#This Row],[fecha de nacimiento]:[30]],Code1)</f>
        <v>0</v>
      </c>
      <c r="AJ8" s="38">
        <f>COUNTIF(ParticipationSeptembre1621[[#This Row],[fecha de nacimiento]:[30]],Code2)</f>
        <v>0</v>
      </c>
      <c r="AK8" s="38">
        <f>COUNTIF(ParticipationSeptembre1621[[#This Row],[fecha de nacimiento]:[30]],Code3)</f>
        <v>0</v>
      </c>
      <c r="AL8" s="38">
        <f>COUNTIF(ParticipationSeptembre1621[[#This Row],[fecha de nacimiento]:[30]],Code4)</f>
        <v>0</v>
      </c>
      <c r="AM8" s="7">
        <f>SUM(ParticipationSeptembre1621[[#This Row],[E]:[N1]])</f>
        <v>0</v>
      </c>
      <c r="AN8" s="5"/>
    </row>
    <row r="9" spans="1:40" s="9" customFormat="1" ht="16.5" customHeight="1">
      <c r="A9" s="6">
        <f t="shared" ref="A9:A14" si="0">1+A8</f>
        <v>3</v>
      </c>
      <c r="B9" s="134" t="s">
        <v>124</v>
      </c>
      <c r="C9" s="134" t="s">
        <v>125</v>
      </c>
      <c r="D9" s="16">
        <v>39641</v>
      </c>
      <c r="E9" s="16"/>
      <c r="F9" s="21"/>
      <c r="G9" s="21"/>
      <c r="H9" s="21"/>
      <c r="I9" s="21"/>
      <c r="J9" s="21"/>
      <c r="K9" s="21"/>
      <c r="L9" s="21"/>
      <c r="M9" s="21"/>
      <c r="N9" s="21"/>
      <c r="O9" s="21"/>
      <c r="P9" s="21"/>
      <c r="Q9" s="21"/>
      <c r="R9" s="21"/>
      <c r="S9" s="21"/>
      <c r="T9" s="21"/>
      <c r="U9" s="21"/>
      <c r="V9" s="21"/>
      <c r="W9" s="21"/>
      <c r="X9" s="21"/>
      <c r="Y9" s="21"/>
      <c r="Z9" s="21"/>
      <c r="AA9" s="21"/>
      <c r="AB9" s="21"/>
      <c r="AC9" s="21"/>
      <c r="AD9" s="21"/>
      <c r="AE9" s="21"/>
      <c r="AF9" s="22"/>
      <c r="AG9" s="20"/>
      <c r="AH9" s="20"/>
      <c r="AI9" s="7">
        <f>COUNTIF(ParticipationSeptembre1621[[#This Row],[fecha de nacimiento]:[30]],Code1)</f>
        <v>0</v>
      </c>
      <c r="AJ9" s="38">
        <f>COUNTIF(ParticipationSeptembre1621[[#This Row],[fecha de nacimiento]:[30]],Code2)</f>
        <v>0</v>
      </c>
      <c r="AK9" s="38">
        <f>COUNTIF(ParticipationSeptembre1621[[#This Row],[fecha de nacimiento]:[30]],Code3)</f>
        <v>0</v>
      </c>
      <c r="AL9" s="38">
        <f>COUNTIF(ParticipationSeptembre1621[[#This Row],[fecha de nacimiento]:[30]],Code4)</f>
        <v>0</v>
      </c>
      <c r="AM9" s="7">
        <f>SUM(ParticipationSeptembre1621[[#This Row],[E]:[N1]])</f>
        <v>0</v>
      </c>
      <c r="AN9" s="8"/>
    </row>
    <row r="10" spans="1:40" ht="16.5" customHeight="1">
      <c r="A10" s="6">
        <f t="shared" si="0"/>
        <v>4</v>
      </c>
      <c r="B10" s="134" t="s">
        <v>174</v>
      </c>
      <c r="C10" s="134" t="s">
        <v>175</v>
      </c>
      <c r="D10" s="16">
        <v>40075</v>
      </c>
      <c r="E10" s="16"/>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2"/>
      <c r="AG10" s="20"/>
      <c r="AH10" s="20"/>
      <c r="AI10" s="7">
        <f>COUNTIF(ParticipationSeptembre1621[[#This Row],[fecha de nacimiento]:[30]],Code1)</f>
        <v>0</v>
      </c>
      <c r="AJ10" s="38">
        <f>COUNTIF(ParticipationSeptembre1621[[#This Row],[fecha de nacimiento]:[30]],Code2)</f>
        <v>0</v>
      </c>
      <c r="AK10" s="38">
        <f>COUNTIF(ParticipationSeptembre1621[[#This Row],[fecha de nacimiento]:[30]],Code3)</f>
        <v>0</v>
      </c>
      <c r="AL10" s="38">
        <f>COUNTIF(ParticipationSeptembre1621[[#This Row],[fecha de nacimiento]:[30]],Code4)</f>
        <v>0</v>
      </c>
      <c r="AM10" s="7">
        <f>SUM(ParticipationSeptembre1621[[#This Row],[E]:[N1]])</f>
        <v>0</v>
      </c>
      <c r="AN10" s="11"/>
    </row>
    <row r="11" spans="1:40" ht="16.5" customHeight="1">
      <c r="A11" s="6">
        <f t="shared" si="0"/>
        <v>5</v>
      </c>
      <c r="B11" s="134" t="s">
        <v>182</v>
      </c>
      <c r="C11" s="134" t="s">
        <v>183</v>
      </c>
      <c r="D11" s="16">
        <v>39691</v>
      </c>
      <c r="E11" s="16"/>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2"/>
      <c r="AG11" s="20"/>
      <c r="AH11" s="20"/>
      <c r="AI11" s="7">
        <f>COUNTIF(ParticipationSeptembre1621[[#This Row],[fecha de nacimiento]:[30]],Code1)</f>
        <v>0</v>
      </c>
      <c r="AJ11" s="38">
        <f>COUNTIF(ParticipationSeptembre1621[[#This Row],[fecha de nacimiento]:[30]],Code2)</f>
        <v>0</v>
      </c>
      <c r="AK11" s="38">
        <f>COUNTIF(ParticipationSeptembre1621[[#This Row],[fecha de nacimiento]:[30]],Code3)</f>
        <v>0</v>
      </c>
      <c r="AL11" s="38">
        <f>COUNTIF(ParticipationSeptembre1621[[#This Row],[fecha de nacimiento]:[30]],Code4)</f>
        <v>0</v>
      </c>
      <c r="AM11" s="7">
        <f>SUM(ParticipationSeptembre1621[[#This Row],[E]:[N1]])</f>
        <v>0</v>
      </c>
      <c r="AN11" s="11"/>
    </row>
    <row r="12" spans="1:40" ht="16.5" customHeight="1">
      <c r="A12" s="6">
        <f t="shared" si="0"/>
        <v>6</v>
      </c>
      <c r="B12" s="134" t="s">
        <v>205</v>
      </c>
      <c r="C12" s="134" t="s">
        <v>206</v>
      </c>
      <c r="D12" s="16">
        <v>39451</v>
      </c>
      <c r="E12" s="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8"/>
      <c r="AI12" s="11">
        <f>COUNTIF(ParticipationSeptembre1621[[#This Row],[fecha de nacimiento]:[30]],Code1)</f>
        <v>0</v>
      </c>
      <c r="AJ12" s="120">
        <f>COUNTIF(ParticipationSeptembre1621[[#This Row],[fecha de nacimiento]:[30]],Code2)</f>
        <v>0</v>
      </c>
      <c r="AK12" s="120">
        <f>COUNTIF(ParticipationSeptembre1621[[#This Row],[fecha de nacimiento]:[30]],Code3)</f>
        <v>0</v>
      </c>
      <c r="AL12" s="120">
        <f>COUNTIF(ParticipationSeptembre1621[[#This Row],[fecha de nacimiento]:[30]],Code4)</f>
        <v>0</v>
      </c>
      <c r="AM12" s="12">
        <f>SUM(ParticipationSeptembre1621[[#This Row],[E]:[N1]])</f>
        <v>0</v>
      </c>
    </row>
    <row r="13" spans="1:40" ht="16.5" customHeight="1">
      <c r="A13" s="6">
        <f t="shared" si="0"/>
        <v>7</v>
      </c>
      <c r="B13" s="143" t="s">
        <v>352</v>
      </c>
      <c r="C13" s="137" t="s">
        <v>347</v>
      </c>
      <c r="D13" s="16">
        <v>39724</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3"/>
      <c r="AI13" s="11">
        <f>COUNTIF(ParticipationSeptembre1621[[#This Row],[fecha de nacimiento]:[30]],Code1)</f>
        <v>0</v>
      </c>
      <c r="AJ13" s="120">
        <f>COUNTIF(ParticipationSeptembre1621[[#This Row],[fecha de nacimiento]:[30]],Code2)</f>
        <v>0</v>
      </c>
      <c r="AK13" s="120">
        <f>COUNTIF(ParticipationSeptembre1621[[#This Row],[fecha de nacimiento]:[30]],Code3)</f>
        <v>0</v>
      </c>
      <c r="AL13" s="120">
        <f>COUNTIF(ParticipationSeptembre1621[[#This Row],[fecha de nacimiento]:[30]],Code4)</f>
        <v>0</v>
      </c>
      <c r="AM13" s="12">
        <f>SUM(ParticipationSeptembre1621[[#This Row],[E]:[N1]])</f>
        <v>0</v>
      </c>
    </row>
    <row r="14" spans="1:40" ht="16.5" customHeight="1">
      <c r="A14" s="6">
        <f t="shared" si="0"/>
        <v>8</v>
      </c>
      <c r="B14" s="143" t="s">
        <v>400</v>
      </c>
      <c r="C14" s="137" t="s">
        <v>401</v>
      </c>
      <c r="D14" s="16">
        <v>39535</v>
      </c>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3"/>
      <c r="AI14" s="11">
        <f>COUNTIF(ParticipationSeptembre1621[[#This Row],[fecha de nacimiento]:[30]],Code1)</f>
        <v>0</v>
      </c>
      <c r="AJ14" s="120">
        <f>COUNTIF(ParticipationSeptembre1621[[#This Row],[fecha de nacimiento]:[30]],Code2)</f>
        <v>0</v>
      </c>
      <c r="AK14" s="120">
        <f>COUNTIF(ParticipationSeptembre1621[[#This Row],[fecha de nacimiento]:[30]],Code3)</f>
        <v>0</v>
      </c>
      <c r="AL14" s="120">
        <f>COUNTIF(ParticipationSeptembre1621[[#This Row],[fecha de nacimiento]:[30]],Code4)</f>
        <v>0</v>
      </c>
      <c r="AM14" s="12">
        <f>SUM(ParticipationSeptembre1621[[#This Row],[E]:[N1]])</f>
        <v>0</v>
      </c>
    </row>
    <row r="15" spans="1:40" ht="16.5" customHeight="1">
      <c r="B15" s="135" t="s">
        <v>185</v>
      </c>
      <c r="C15" s="153" t="s">
        <v>186</v>
      </c>
      <c r="D15" s="16">
        <v>40112</v>
      </c>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8"/>
      <c r="AI15" s="11">
        <f>COUNTIF(ParticipationSeptembre1621[[#This Row],[fecha de nacimiento]:[30]],Code1)</f>
        <v>0</v>
      </c>
      <c r="AJ15" s="120">
        <f>COUNTIF(ParticipationSeptembre1621[[#This Row],[fecha de nacimiento]:[30]],Code2)</f>
        <v>0</v>
      </c>
      <c r="AK15" s="120">
        <f>COUNTIF(ParticipationSeptembre1621[[#This Row],[fecha de nacimiento]:[30]],Code3)</f>
        <v>0</v>
      </c>
      <c r="AL15" s="120">
        <f>COUNTIF(ParticipationSeptembre1621[[#This Row],[fecha de nacimiento]:[30]],Code4)</f>
        <v>0</v>
      </c>
      <c r="AM15" s="12">
        <f>SUM(ParticipationSeptembre1621[[#This Row],[E]:[N1]])</f>
        <v>0</v>
      </c>
    </row>
    <row r="16" spans="1:40" ht="16.5" customHeight="1">
      <c r="B16" s="135" t="s">
        <v>577</v>
      </c>
      <c r="C16" s="136" t="s">
        <v>578</v>
      </c>
      <c r="D16" s="169">
        <v>40026</v>
      </c>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8"/>
      <c r="AI16" s="11">
        <f>COUNTIF(ParticipationSeptembre1621[[#This Row],[fecha de nacimiento]:[30]],Code1)</f>
        <v>0</v>
      </c>
      <c r="AJ16" s="120">
        <f>COUNTIF(ParticipationSeptembre1621[[#This Row],[fecha de nacimiento]:[30]],Code2)</f>
        <v>0</v>
      </c>
      <c r="AK16" s="120">
        <f>COUNTIF(ParticipationSeptembre1621[[#This Row],[fecha de nacimiento]:[30]],Code3)</f>
        <v>0</v>
      </c>
      <c r="AL16" s="120">
        <f>COUNTIF(ParticipationSeptembre1621[[#This Row],[fecha de nacimiento]:[30]],Code4)</f>
        <v>0</v>
      </c>
      <c r="AM16" s="12">
        <f>SUM(ParticipationSeptembre1621[[#This Row],[E]:[N1]])</f>
        <v>0</v>
      </c>
    </row>
    <row r="17" spans="2:39" ht="16.5" customHeight="1">
      <c r="B17" s="143"/>
      <c r="C17" s="137"/>
      <c r="D17" s="121"/>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8"/>
      <c r="AI17" s="11">
        <f>COUNTIF(ParticipationSeptembre1621[[#This Row],[fecha de nacimiento]:[30]],Code1)</f>
        <v>0</v>
      </c>
      <c r="AJ17" s="120">
        <f>COUNTIF(ParticipationSeptembre1621[[#This Row],[fecha de nacimiento]:[30]],Code2)</f>
        <v>0</v>
      </c>
      <c r="AK17" s="120">
        <f>COUNTIF(ParticipationSeptembre1621[[#This Row],[fecha de nacimiento]:[30]],Code3)</f>
        <v>0</v>
      </c>
      <c r="AL17" s="120">
        <f>COUNTIF(ParticipationSeptembre1621[[#This Row],[fecha de nacimiento]:[30]],Code4)</f>
        <v>0</v>
      </c>
      <c r="AM17" s="12">
        <f>SUM(ParticipationSeptembre1621[[#This Row],[E]:[N1]])</f>
        <v>0</v>
      </c>
    </row>
    <row r="18" spans="2:39" ht="16.5" customHeight="1">
      <c r="B18" s="104"/>
      <c r="C18" s="105" t="s">
        <v>78</v>
      </c>
      <c r="D18" s="107">
        <f>COUNTIF(ParticipationSeptembre1621[fecha de nacimiento],"N1")+COUNTIF(ParticipationSeptembre1621[fecha de nacimiento],"E")</f>
        <v>0</v>
      </c>
      <c r="E18" s="107">
        <f>COUNTIF(ParticipationSeptembre1621[29],"N1")+COUNTIF(ParticipationSeptembre1621[29],"E")</f>
        <v>0</v>
      </c>
      <c r="F18" s="107">
        <f>COUNTIF(ParticipationSeptembre1621[6],"N1")+COUNTIF(ParticipationSeptembre1621[6],"E")</f>
        <v>0</v>
      </c>
      <c r="G18" s="107">
        <f>COUNTIF(ParticipationSeptembre1621[13],"N1")+COUNTIF(ParticipationSeptembre1621[13],"E")</f>
        <v>0</v>
      </c>
      <c r="H18" s="107">
        <f>COUNTIF(ParticipationSeptembre1621[20],"N1")+COUNTIF(ParticipationSeptembre1621[20],"E")</f>
        <v>0</v>
      </c>
      <c r="I18" s="107">
        <f>COUNTIF(ParticipationSeptembre1621[27],"N1")+COUNTIF(ParticipationSeptembre1621[27],"E")</f>
        <v>0</v>
      </c>
      <c r="J18" s="107">
        <f>COUNTIF(ParticipationSeptembre1621[3],"N1")+COUNTIF(ParticipationSeptembre1621[3],"E")</f>
        <v>0</v>
      </c>
      <c r="K18" s="107">
        <f>COUNTIF(ParticipationSeptembre1621[10],"N1")+COUNTIF(ParticipationSeptembre1621[10],"E")</f>
        <v>0</v>
      </c>
      <c r="L18" s="107">
        <f>COUNTIF(ParticipationSeptembre1621[17],"N1")+COUNTIF(ParticipationSeptembre1621[17],"E")</f>
        <v>0</v>
      </c>
      <c r="M18" s="107">
        <f>COUNTIF(ParticipationSeptembre1621[24],"N1")+COUNTIF(ParticipationSeptembre1621[24],"E")</f>
        <v>0</v>
      </c>
      <c r="N18" s="107">
        <f>COUNTIF(ParticipationSeptembre1621[14],"N1")+COUNTIF(ParticipationSeptembre1621[14],"E")</f>
        <v>0</v>
      </c>
      <c r="O18" s="107">
        <f>COUNTIF(ParticipationSeptembre1621[8],"N1")+COUNTIF(ParticipationSeptembre1621[8],"E")</f>
        <v>0</v>
      </c>
      <c r="P18" s="107">
        <f>COUNTIF(ParticipationSeptembre1621[15],"N1")+COUNTIF(ParticipationSeptembre1621[15],"E")</f>
        <v>0</v>
      </c>
      <c r="Q18" s="107">
        <f>COUNTIF(ParticipationSeptembre1621[12],"N1")+COUNTIF(ParticipationSeptembre1621[12],"E")</f>
        <v>0</v>
      </c>
      <c r="R18" s="107">
        <f>COUNTIF(ParticipationSeptembre1621[19],"N1")+COUNTIF(ParticipationSeptembre1621[19],"E")</f>
        <v>0</v>
      </c>
      <c r="S18" s="107">
        <f>COUNTIF(ParticipationSeptembre1621[26],"N1")+COUNTIF(ParticipationSeptembre1621[26],"E")</f>
        <v>0</v>
      </c>
      <c r="T18" s="107">
        <f>COUNTIF(ParticipationSeptembre1621[2],"N1")+COUNTIF(ParticipationSeptembre1621[2],"E")</f>
        <v>0</v>
      </c>
      <c r="U18" s="107">
        <f>COUNTIF(ParticipationSeptembre1621[9],"N1")+COUNTIF(ParticipationSeptembre1621[9],"E")</f>
        <v>0</v>
      </c>
      <c r="V18" s="107">
        <f>COUNTIF(ParticipationSeptembre1621[16],"N1")+COUNTIF(ParticipationSeptembre1621[16],"E")</f>
        <v>0</v>
      </c>
      <c r="W18" s="107">
        <f>COUNTIF(ParticipationSeptembre1621[23],"N1")+COUNTIF(ParticipationSeptembre1621[23],"E")</f>
        <v>0</v>
      </c>
      <c r="X18" s="107">
        <f>COUNTIF(ParticipationSeptembre1621[*8],"N1")+COUNTIF(ParticipationSeptembre1621[*8],"E")</f>
        <v>0</v>
      </c>
      <c r="Y18" s="107">
        <f>COUNTIF(ParticipationSeptembre1621[*15],"N1")+COUNTIF(ParticipationSeptembre1621[*15],"E")</f>
        <v>0</v>
      </c>
      <c r="Z18" s="107">
        <f>COUNTIF(ParticipationSeptembre1621[22],"N1")+COUNTIF(ParticipationSeptembre1621[22],"E")</f>
        <v>0</v>
      </c>
      <c r="AA18" s="107">
        <f>COUNTIF(ParticipationSeptembre1621[*29],"N1")+COUNTIF(ParticipationSeptembre1621[*29],"E")</f>
        <v>0</v>
      </c>
      <c r="AB18" s="107">
        <f>COUNTIF(ParticipationSeptembre1621[*19],"N1")+COUNTIF(ParticipationSeptembre1621[*19],"E")</f>
        <v>0</v>
      </c>
      <c r="AC18" s="107">
        <f>COUNTIF(ParticipationSeptembre1621[*26],"N1")+COUNTIF(ParticipationSeptembre1621[*26],"E")</f>
        <v>0</v>
      </c>
      <c r="AD18" s="107">
        <f>COUNTIF(ParticipationSeptembre1621[*3],"N1")+COUNTIF(ParticipationSeptembre1621[*3],"E")</f>
        <v>0</v>
      </c>
      <c r="AE18" s="107">
        <f>COUNTIF(ParticipationSeptembre1621[*10],"N1")+COUNTIF(ParticipationSeptembre1621[*10],"E")</f>
        <v>0</v>
      </c>
      <c r="AF18" s="107">
        <f>COUNTIF(ParticipationSeptembre1621[*17],"N1")+COUNTIF(ParticipationSeptembre1621[*17],"E")</f>
        <v>0</v>
      </c>
      <c r="AG18" s="107">
        <f>COUNTIF(ParticipationSeptembre1621[*24],"N1")+COUNTIF(ParticipationSeptembre1621[*24],"E")</f>
        <v>0</v>
      </c>
      <c r="AH18" s="107">
        <f>COUNTIF(ParticipationSeptembre1621[30],"N1")+COUNTIF(ParticipationSeptembre1621[30],"E")</f>
        <v>0</v>
      </c>
      <c r="AI18" s="107">
        <f>SUBTOTAL(109,ParticipationSeptembre1621[R])</f>
        <v>0</v>
      </c>
      <c r="AJ18" s="107">
        <f>SUBTOTAL(109,ParticipationSeptembre1621[E])</f>
        <v>0</v>
      </c>
      <c r="AK18" s="107">
        <f>SUBTOTAL(109,ParticipationSeptembre1621[N1])</f>
        <v>0</v>
      </c>
      <c r="AL18" s="107">
        <f>SUBTOTAL(109,ParticipationSeptembre1621[P])</f>
        <v>0</v>
      </c>
      <c r="AM18" s="106"/>
    </row>
    <row r="19" spans="2:39" ht="16.5" customHeight="1"/>
    <row r="20" spans="2:39" ht="16.5" customHeight="1"/>
    <row r="21" spans="2:39" ht="16.5" customHeight="1"/>
    <row r="22" spans="2:39" ht="16.5" customHeight="1"/>
    <row r="23" spans="2:39" ht="16.5" customHeight="1"/>
    <row r="24" spans="2:39" ht="16.5" customHeight="1"/>
    <row r="25" spans="2:39" ht="16.5" customHeight="1"/>
    <row r="26" spans="2:39" ht="16.5" customHeight="1"/>
    <row r="27" spans="2:39" ht="16.5" customHeight="1"/>
    <row r="28" spans="2:39" ht="16.5" customHeight="1"/>
    <row r="29" spans="2:39" ht="16.5" customHeight="1"/>
    <row r="30" spans="2:39" ht="16.5" customHeight="1"/>
    <row r="31" spans="2:39" ht="16.5" customHeight="1"/>
    <row r="32" spans="2:39"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sheetData>
  <sheetProtection formatCells="0" formatColumns="0" formatRows="0" insertColumns="0" insertRows="0" insertHyperlinks="0" deleteColumns="0" deleteRows="0" sort="0" autoFilter="0" pivotTables="0"/>
  <mergeCells count="1">
    <mergeCell ref="AI5:AM5"/>
  </mergeCells>
  <conditionalFormatting sqref="D7:AI17">
    <cfRule type="expression" dxfId="168" priority="7" stopIfTrue="1">
      <formula>D7=Code2</formula>
    </cfRule>
  </conditionalFormatting>
  <conditionalFormatting sqref="D7:AH17">
    <cfRule type="expression" dxfId="167" priority="8" stopIfTrue="1">
      <formula>D7=Code5</formula>
    </cfRule>
    <cfRule type="expression" dxfId="166" priority="9" stopIfTrue="1">
      <formula>D7=Code4</formula>
    </cfRule>
    <cfRule type="expression" dxfId="165" priority="10" stopIfTrue="1">
      <formula>D7=Code3</formula>
    </cfRule>
    <cfRule type="expression" dxfId="164" priority="11" stopIfTrue="1">
      <formula>D7=Code1</formula>
    </cfRule>
  </conditionalFormatting>
  <conditionalFormatting sqref="AM7:AM17">
    <cfRule type="dataBar" priority="203">
      <dataBar>
        <cfvo type="min"/>
        <cfvo type="num" val="31"/>
        <color theme="4"/>
      </dataBar>
      <extLst>
        <ext xmlns:x14="http://schemas.microsoft.com/office/spreadsheetml/2009/9/main" uri="{B025F937-C7B1-47D3-B67F-A62EFF666E3E}">
          <x14:id>{E80D9871-24D7-4A27-B951-31DC6F6E43BC}</x14:id>
        </ext>
      </extLst>
    </cfRule>
  </conditionalFormatting>
  <dataValidations count="1">
    <dataValidation type="list" errorStyle="warning" allowBlank="1" showInputMessage="1" showErrorMessage="1" errorTitle="Whoops!" error="The Student ID you entered isn't on the Student List sheet. You can click Yes to use what you entered but that Student ID won't be available on the Student Attendance Report sheet." sqref="B7:B17">
      <formula1>IDÉtudiant</formula1>
    </dataValidation>
  </dataValidations>
  <printOptions horizontalCentered="1"/>
  <pageMargins left="0.51181102362204722" right="0.51181102362204722" top="0.74803149606299213" bottom="0.74803149606299213" header="0.31496062992125984" footer="0.31496062992125984"/>
  <pageSetup paperSize="5" scale="70" fitToHeight="0" orientation="landscape" r:id="rId1"/>
  <headerFooter>
    <oddHeader>&amp;CMisión Santa Teresa de Avila
Lista de presencia de los grupos de catequesis
2019-2020</oddHeader>
  </headerFooter>
  <ignoredErrors>
    <ignoredError sqref="B7:C15" listDataValidation="1"/>
  </ignoredError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E80D9871-24D7-4A27-B951-31DC6F6E43BC}">
            <x14:dataBar minLength="0" maxLength="100" border="1" negativeBarBorderColorSameAsPositive="0">
              <x14:cfvo type="autoMin"/>
              <x14:cfvo type="num">
                <xm:f>31</xm:f>
              </x14:cfvo>
              <x14:borderColor theme="4"/>
              <x14:negativeFillColor rgb="FFFF0000"/>
              <x14:negativeBorderColor rgb="FFFF0000"/>
              <x14:axisColor rgb="FF000000"/>
            </x14:dataBar>
          </x14:cfRule>
          <xm:sqref>AM7:AM17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N346"/>
  <sheetViews>
    <sheetView showGridLines="0" zoomScaleNormal="100" workbookViewId="0">
      <pane xSplit="3" ySplit="6" topLeftCell="D25" activePane="bottomRight" state="frozen"/>
      <selection pane="topRight"/>
      <selection pane="bottomLeft"/>
      <selection pane="bottomRight" activeCell="AJ48" sqref="AJ48"/>
    </sheetView>
  </sheetViews>
  <sheetFormatPr baseColWidth="10" defaultColWidth="9.140625" defaultRowHeight="15" customHeight="1"/>
  <cols>
    <col min="1" max="1" width="2.7109375" style="12" customWidth="1"/>
    <col min="2" max="2" width="24" style="12" customWidth="1"/>
    <col min="3" max="3" width="24.28515625" style="13" customWidth="1"/>
    <col min="4" max="4" width="10.28515625" style="11" customWidth="1"/>
    <col min="5" max="34" width="5" style="11" customWidth="1"/>
    <col min="35" max="35" width="4.7109375" style="10" customWidth="1"/>
    <col min="36" max="36" width="4.7109375" style="11" customWidth="1"/>
    <col min="37" max="38" width="4.7109375" style="12" customWidth="1"/>
    <col min="39" max="39" width="11.140625" style="12" customWidth="1"/>
    <col min="40" max="16384" width="9.140625" style="12"/>
  </cols>
  <sheetData>
    <row r="1" spans="1:40" s="1" customFormat="1" ht="42" customHeight="1">
      <c r="A1" s="102" t="s">
        <v>115</v>
      </c>
      <c r="B1" s="28"/>
      <c r="C1" s="28"/>
      <c r="D1" s="177"/>
      <c r="E1" s="178"/>
      <c r="F1" s="178"/>
      <c r="G1" s="178"/>
      <c r="H1" s="178"/>
      <c r="I1" s="178" t="s">
        <v>470</v>
      </c>
      <c r="J1" s="178"/>
      <c r="K1" s="178"/>
      <c r="L1" s="178"/>
      <c r="M1" s="178"/>
      <c r="N1" s="178"/>
      <c r="O1" s="178"/>
      <c r="P1" s="178"/>
      <c r="Q1" s="178"/>
      <c r="R1" s="178"/>
      <c r="S1" s="29"/>
      <c r="T1" s="29"/>
      <c r="U1" s="29"/>
      <c r="V1" s="29"/>
      <c r="W1" s="29"/>
      <c r="X1" s="29"/>
      <c r="Y1" s="29"/>
      <c r="Z1" s="29"/>
      <c r="AA1" s="29"/>
      <c r="AB1" s="29"/>
      <c r="AC1" s="28"/>
      <c r="AD1" s="28"/>
      <c r="AE1" s="28"/>
      <c r="AF1" s="28"/>
      <c r="AG1" s="30"/>
      <c r="AH1" s="28"/>
      <c r="AI1" s="28"/>
      <c r="AJ1" s="31"/>
      <c r="AK1" s="28"/>
      <c r="AL1" s="46" t="s">
        <v>117</v>
      </c>
      <c r="AM1" s="47">
        <v>2019</v>
      </c>
    </row>
    <row r="2" spans="1:40" customFormat="1" ht="13.5"/>
    <row r="3" spans="1:40" s="24" customFormat="1" ht="12.75" customHeight="1">
      <c r="B3" s="24" t="s">
        <v>116</v>
      </c>
      <c r="C3" s="34"/>
      <c r="D3" s="40" t="str">
        <f>Code1</f>
        <v>R</v>
      </c>
      <c r="E3" s="56" t="s">
        <v>118</v>
      </c>
      <c r="F3" s="48"/>
      <c r="H3" s="41" t="str">
        <f>Code2</f>
        <v>E</v>
      </c>
      <c r="I3" s="45" t="s">
        <v>119</v>
      </c>
      <c r="L3" s="42" t="str">
        <f>Code3</f>
        <v>N1</v>
      </c>
      <c r="M3" s="45" t="s">
        <v>123</v>
      </c>
      <c r="P3" s="43" t="str">
        <f>Code4</f>
        <v>P</v>
      </c>
      <c r="Q3" s="45" t="s">
        <v>121</v>
      </c>
      <c r="T3" s="44" t="str">
        <f>Code5</f>
        <v>N</v>
      </c>
      <c r="U3" s="45"/>
      <c r="W3"/>
      <c r="X3"/>
      <c r="Y3"/>
      <c r="AD3" s="23"/>
      <c r="AE3" s="23"/>
      <c r="AH3" s="25"/>
      <c r="AI3" s="26"/>
      <c r="AK3" s="27"/>
    </row>
    <row r="4" spans="1:40" customFormat="1" ht="16.5" customHeight="1"/>
    <row r="5" spans="1:40" s="2" customFormat="1" ht="18" customHeight="1">
      <c r="B5" s="176">
        <v>42277</v>
      </c>
      <c r="C5" s="49"/>
      <c r="D5" s="32"/>
      <c r="E5" s="110" t="s">
        <v>95</v>
      </c>
      <c r="F5" s="111" t="s">
        <v>96</v>
      </c>
      <c r="G5" s="112" t="s">
        <v>96</v>
      </c>
      <c r="H5" s="112" t="s">
        <v>96</v>
      </c>
      <c r="I5" s="112" t="s">
        <v>96</v>
      </c>
      <c r="J5" s="112" t="s">
        <v>97</v>
      </c>
      <c r="K5" s="112" t="s">
        <v>97</v>
      </c>
      <c r="L5" s="112" t="s">
        <v>97</v>
      </c>
      <c r="M5" s="112" t="s">
        <v>97</v>
      </c>
      <c r="N5" s="112" t="s">
        <v>98</v>
      </c>
      <c r="O5" s="112" t="s">
        <v>98</v>
      </c>
      <c r="P5" s="112" t="s">
        <v>98</v>
      </c>
      <c r="Q5" s="112" t="s">
        <v>99</v>
      </c>
      <c r="R5" s="112" t="s">
        <v>99</v>
      </c>
      <c r="S5" s="112" t="s">
        <v>99</v>
      </c>
      <c r="T5" s="112" t="s">
        <v>100</v>
      </c>
      <c r="U5" s="112" t="s">
        <v>100</v>
      </c>
      <c r="V5" s="112" t="s">
        <v>100</v>
      </c>
      <c r="W5" s="112" t="s">
        <v>100</v>
      </c>
      <c r="X5" s="112" t="s">
        <v>101</v>
      </c>
      <c r="Y5" s="112" t="s">
        <v>101</v>
      </c>
      <c r="Z5" s="112" t="s">
        <v>101</v>
      </c>
      <c r="AA5" s="112" t="s">
        <v>101</v>
      </c>
      <c r="AB5" s="112" t="s">
        <v>102</v>
      </c>
      <c r="AC5" s="112" t="s">
        <v>103</v>
      </c>
      <c r="AD5" s="112" t="s">
        <v>104</v>
      </c>
      <c r="AE5" s="112" t="s">
        <v>104</v>
      </c>
      <c r="AF5" s="112" t="s">
        <v>104</v>
      </c>
      <c r="AG5" s="112" t="s">
        <v>104</v>
      </c>
      <c r="AH5" s="112" t="s">
        <v>104</v>
      </c>
      <c r="AI5" s="190" t="s">
        <v>28</v>
      </c>
      <c r="AJ5" s="191"/>
      <c r="AK5" s="191"/>
      <c r="AL5" s="191"/>
      <c r="AM5" s="192"/>
    </row>
    <row r="6" spans="1:40" s="6" customFormat="1" ht="34.5" customHeight="1">
      <c r="B6" t="s">
        <v>451</v>
      </c>
      <c r="C6" t="s">
        <v>452</v>
      </c>
      <c r="D6" s="113" t="s">
        <v>462</v>
      </c>
      <c r="E6" s="3" t="s">
        <v>19</v>
      </c>
      <c r="F6" s="3" t="s">
        <v>2</v>
      </c>
      <c r="G6" s="3" t="s">
        <v>7</v>
      </c>
      <c r="H6" s="3" t="s">
        <v>13</v>
      </c>
      <c r="I6" s="3" t="s">
        <v>18</v>
      </c>
      <c r="J6" s="3" t="s">
        <v>1</v>
      </c>
      <c r="K6" s="3" t="s">
        <v>5</v>
      </c>
      <c r="L6" s="3" t="s">
        <v>11</v>
      </c>
      <c r="M6" s="3" t="s">
        <v>16</v>
      </c>
      <c r="N6" s="3" t="s">
        <v>8</v>
      </c>
      <c r="O6" s="3" t="s">
        <v>3</v>
      </c>
      <c r="P6" s="3" t="s">
        <v>9</v>
      </c>
      <c r="Q6" s="3" t="s">
        <v>6</v>
      </c>
      <c r="R6" s="3" t="s">
        <v>12</v>
      </c>
      <c r="S6" s="3" t="s">
        <v>17</v>
      </c>
      <c r="T6" s="3" t="s">
        <v>0</v>
      </c>
      <c r="U6" s="3" t="s">
        <v>4</v>
      </c>
      <c r="V6" s="3" t="s">
        <v>10</v>
      </c>
      <c r="W6" s="3" t="s">
        <v>15</v>
      </c>
      <c r="X6" s="3" t="s">
        <v>105</v>
      </c>
      <c r="Y6" s="3" t="s">
        <v>106</v>
      </c>
      <c r="Z6" s="3" t="s">
        <v>14</v>
      </c>
      <c r="AA6" s="3" t="s">
        <v>107</v>
      </c>
      <c r="AB6" s="3" t="s">
        <v>108</v>
      </c>
      <c r="AC6" s="3" t="s">
        <v>109</v>
      </c>
      <c r="AD6" s="3" t="s">
        <v>110</v>
      </c>
      <c r="AE6" s="3" t="s">
        <v>111</v>
      </c>
      <c r="AF6" s="3" t="s">
        <v>112</v>
      </c>
      <c r="AG6" s="3" t="s">
        <v>113</v>
      </c>
      <c r="AH6" s="3" t="s">
        <v>20</v>
      </c>
      <c r="AI6" s="81" t="s">
        <v>25</v>
      </c>
      <c r="AJ6" s="57" t="s">
        <v>26</v>
      </c>
      <c r="AK6" s="58" t="s">
        <v>81</v>
      </c>
      <c r="AL6" s="59" t="s">
        <v>21</v>
      </c>
      <c r="AM6" s="156" t="s">
        <v>122</v>
      </c>
      <c r="AN6" s="5"/>
    </row>
    <row r="7" spans="1:40" s="6" customFormat="1" ht="16.5" customHeight="1">
      <c r="A7" s="6">
        <v>1</v>
      </c>
      <c r="B7" s="134" t="s">
        <v>393</v>
      </c>
      <c r="C7" s="134" t="s">
        <v>394</v>
      </c>
      <c r="D7" s="16">
        <v>38384</v>
      </c>
      <c r="E7" s="16"/>
      <c r="F7" s="21"/>
      <c r="G7" s="21"/>
      <c r="H7" s="21"/>
      <c r="I7" s="21"/>
      <c r="J7" s="21"/>
      <c r="K7" s="21"/>
      <c r="L7" s="21"/>
      <c r="M7" s="21"/>
      <c r="N7" s="21"/>
      <c r="O7" s="21"/>
      <c r="P7" s="21"/>
      <c r="Q7" s="21"/>
      <c r="R7" s="21"/>
      <c r="S7" s="21"/>
      <c r="T7" s="21"/>
      <c r="U7" s="21"/>
      <c r="V7" s="21"/>
      <c r="W7" s="21"/>
      <c r="X7" s="21"/>
      <c r="Y7" s="21"/>
      <c r="Z7" s="21"/>
      <c r="AA7" s="21"/>
      <c r="AB7" s="21"/>
      <c r="AC7" s="21"/>
      <c r="AD7" s="21"/>
      <c r="AE7" s="21"/>
      <c r="AF7" s="22"/>
      <c r="AG7" s="20"/>
      <c r="AH7" s="20"/>
      <c r="AI7" s="7">
        <f>COUNTIF(ParticipationSeptembre16[[#This Row],[f. de nacimiento]:[30]],Code1)</f>
        <v>0</v>
      </c>
      <c r="AJ7" s="38">
        <f>COUNTIF(ParticipationSeptembre16[[#This Row],[f. de nacimiento]:[30]],Code2)</f>
        <v>0</v>
      </c>
      <c r="AK7" s="38">
        <f>COUNTIF(ParticipationSeptembre16[[#This Row],[f. de nacimiento]:[30]],Code3)</f>
        <v>0</v>
      </c>
      <c r="AL7" s="38">
        <f>COUNTIF(ParticipationSeptembre16[[#This Row],[f. de nacimiento]:[30]],Code4)</f>
        <v>0</v>
      </c>
      <c r="AM7" s="7">
        <f>SUM(ParticipationSeptembre16[[#This Row],[E]:[N1]])</f>
        <v>0</v>
      </c>
      <c r="AN7" s="5"/>
    </row>
    <row r="8" spans="1:40" s="6" customFormat="1" ht="16.5" customHeight="1">
      <c r="A8" s="6">
        <f>1+A7</f>
        <v>2</v>
      </c>
      <c r="B8" s="134" t="s">
        <v>399</v>
      </c>
      <c r="C8" s="134" t="s">
        <v>394</v>
      </c>
      <c r="D8" s="16">
        <v>38995</v>
      </c>
      <c r="E8" s="16"/>
      <c r="F8" s="21"/>
      <c r="G8" s="21"/>
      <c r="H8" s="21"/>
      <c r="I8" s="21"/>
      <c r="J8" s="21"/>
      <c r="K8" s="21"/>
      <c r="L8" s="21"/>
      <c r="M8" s="21"/>
      <c r="N8" s="21"/>
      <c r="O8" s="21"/>
      <c r="P8" s="21"/>
      <c r="Q8" s="21"/>
      <c r="R8" s="21"/>
      <c r="S8" s="21"/>
      <c r="T8" s="21"/>
      <c r="U8" s="21"/>
      <c r="V8" s="21"/>
      <c r="W8" s="21"/>
      <c r="X8" s="21"/>
      <c r="Y8" s="21"/>
      <c r="Z8" s="21"/>
      <c r="AA8" s="21"/>
      <c r="AB8" s="21"/>
      <c r="AC8" s="21"/>
      <c r="AD8" s="21"/>
      <c r="AE8" s="21"/>
      <c r="AF8" s="22"/>
      <c r="AG8" s="20"/>
      <c r="AH8" s="20"/>
      <c r="AI8" s="7">
        <f>COUNTIF(ParticipationSeptembre16[[#This Row],[f. de nacimiento]:[30]],Code1)</f>
        <v>0</v>
      </c>
      <c r="AJ8" s="38">
        <f>COUNTIF(ParticipationSeptembre16[[#This Row],[f. de nacimiento]:[30]],Code2)</f>
        <v>0</v>
      </c>
      <c r="AK8" s="38">
        <f>COUNTIF(ParticipationSeptembre16[[#This Row],[f. de nacimiento]:[30]],Code3)</f>
        <v>0</v>
      </c>
      <c r="AL8" s="38">
        <f>COUNTIF(ParticipationSeptembre16[[#This Row],[f. de nacimiento]:[30]],Code4)</f>
        <v>0</v>
      </c>
      <c r="AM8" s="7">
        <f>SUM(ParticipationSeptembre16[[#This Row],[E]:[N1]])</f>
        <v>0</v>
      </c>
      <c r="AN8" s="5"/>
    </row>
    <row r="9" spans="1:40" s="9" customFormat="1" ht="16.5" customHeight="1">
      <c r="A9" s="6">
        <f t="shared" ref="A9:A14" si="0">1+A8</f>
        <v>3</v>
      </c>
      <c r="B9" s="134" t="s">
        <v>142</v>
      </c>
      <c r="C9" s="134" t="s">
        <v>143</v>
      </c>
      <c r="D9" s="16">
        <v>38883</v>
      </c>
      <c r="E9" s="16"/>
      <c r="F9" s="21"/>
      <c r="G9" s="21"/>
      <c r="H9" s="21"/>
      <c r="I9" s="21"/>
      <c r="J9" s="21"/>
      <c r="K9" s="21"/>
      <c r="L9" s="21"/>
      <c r="M9" s="21"/>
      <c r="N9" s="21"/>
      <c r="O9" s="21"/>
      <c r="P9" s="21"/>
      <c r="Q9" s="21"/>
      <c r="R9" s="21"/>
      <c r="S9" s="21"/>
      <c r="T9" s="21"/>
      <c r="U9" s="21"/>
      <c r="V9" s="21"/>
      <c r="W9" s="21"/>
      <c r="X9" s="21"/>
      <c r="Y9" s="21"/>
      <c r="Z9" s="21"/>
      <c r="AA9" s="21"/>
      <c r="AB9" s="21"/>
      <c r="AC9" s="21"/>
      <c r="AD9" s="21"/>
      <c r="AE9" s="21"/>
      <c r="AF9" s="22"/>
      <c r="AG9" s="20"/>
      <c r="AH9" s="20"/>
      <c r="AI9" s="7">
        <f>COUNTIF(ParticipationSeptembre16[[#This Row],[f. de nacimiento]:[30]],Code1)</f>
        <v>0</v>
      </c>
      <c r="AJ9" s="38">
        <f>COUNTIF(ParticipationSeptembre16[[#This Row],[f. de nacimiento]:[30]],Code2)</f>
        <v>0</v>
      </c>
      <c r="AK9" s="38">
        <f>COUNTIF(ParticipationSeptembre16[[#This Row],[f. de nacimiento]:[30]],Code3)</f>
        <v>0</v>
      </c>
      <c r="AL9" s="38">
        <f>COUNTIF(ParticipationSeptembre16[[#This Row],[f. de nacimiento]:[30]],Code4)</f>
        <v>0</v>
      </c>
      <c r="AM9" s="7">
        <f>SUM(ParticipationSeptembre16[[#This Row],[E]:[N1]])</f>
        <v>0</v>
      </c>
      <c r="AN9" s="8"/>
    </row>
    <row r="10" spans="1:40" ht="16.5" customHeight="1">
      <c r="A10" s="6">
        <f t="shared" si="0"/>
        <v>4</v>
      </c>
      <c r="B10" s="134" t="s">
        <v>191</v>
      </c>
      <c r="C10" s="134" t="s">
        <v>192</v>
      </c>
      <c r="D10" s="16">
        <v>38960</v>
      </c>
      <c r="E10" s="16"/>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2"/>
      <c r="AG10" s="20"/>
      <c r="AH10" s="20"/>
      <c r="AI10" s="7">
        <f>COUNTIF(ParticipationSeptembre16[[#This Row],[f. de nacimiento]:[30]],Code1)</f>
        <v>0</v>
      </c>
      <c r="AJ10" s="38">
        <f>COUNTIF(ParticipationSeptembre16[[#This Row],[f. de nacimiento]:[30]],Code2)</f>
        <v>0</v>
      </c>
      <c r="AK10" s="38">
        <f>COUNTIF(ParticipationSeptembre16[[#This Row],[f. de nacimiento]:[30]],Code3)</f>
        <v>0</v>
      </c>
      <c r="AL10" s="38">
        <f>COUNTIF(ParticipationSeptembre16[[#This Row],[f. de nacimiento]:[30]],Code4)</f>
        <v>0</v>
      </c>
      <c r="AM10" s="7">
        <f>SUM(ParticipationSeptembre16[[#This Row],[E]:[N1]])</f>
        <v>0</v>
      </c>
      <c r="AN10" s="11"/>
    </row>
    <row r="11" spans="1:40" ht="16.5" customHeight="1">
      <c r="A11" s="6">
        <f t="shared" si="0"/>
        <v>5</v>
      </c>
      <c r="B11" s="134" t="s">
        <v>241</v>
      </c>
      <c r="C11" s="134" t="s">
        <v>237</v>
      </c>
      <c r="D11" s="16">
        <v>38853</v>
      </c>
      <c r="E11" s="16"/>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2"/>
      <c r="AG11" s="20"/>
      <c r="AH11" s="20"/>
      <c r="AI11" s="7">
        <f>COUNTIF(ParticipationSeptembre16[[#This Row],[f. de nacimiento]:[30]],Code1)</f>
        <v>0</v>
      </c>
      <c r="AJ11" s="38">
        <f>COUNTIF(ParticipationSeptembre16[[#This Row],[f. de nacimiento]:[30]],Code2)</f>
        <v>0</v>
      </c>
      <c r="AK11" s="38">
        <f>COUNTIF(ParticipationSeptembre16[[#This Row],[f. de nacimiento]:[30]],Code3)</f>
        <v>0</v>
      </c>
      <c r="AL11" s="38">
        <f>COUNTIF(ParticipationSeptembre16[[#This Row],[f. de nacimiento]:[30]],Code4)</f>
        <v>0</v>
      </c>
      <c r="AM11" s="7">
        <f>SUM(ParticipationSeptembre16[[#This Row],[E]:[N1]])</f>
        <v>0</v>
      </c>
      <c r="AN11" s="11"/>
    </row>
    <row r="12" spans="1:40" ht="16.5" customHeight="1">
      <c r="A12" s="6">
        <f t="shared" si="0"/>
        <v>6</v>
      </c>
      <c r="B12" s="134" t="s">
        <v>346</v>
      </c>
      <c r="C12" s="134" t="s">
        <v>347</v>
      </c>
      <c r="D12" s="16">
        <v>38629</v>
      </c>
      <c r="E12" s="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8"/>
      <c r="AI12" s="11">
        <f>COUNTIF(ParticipationSeptembre16[[#This Row],[f. de nacimiento]:[30]],Code1)</f>
        <v>0</v>
      </c>
      <c r="AJ12" s="120">
        <f>COUNTIF(ParticipationSeptembre16[[#This Row],[f. de nacimiento]:[30]],Code2)</f>
        <v>0</v>
      </c>
      <c r="AK12" s="120">
        <f>COUNTIF(ParticipationSeptembre16[[#This Row],[f. de nacimiento]:[30]],Code3)</f>
        <v>0</v>
      </c>
      <c r="AL12" s="120">
        <f>COUNTIF(ParticipationSeptembre16[[#This Row],[f. de nacimiento]:[30]],Code4)</f>
        <v>0</v>
      </c>
      <c r="AM12" s="12">
        <f>SUM(ParticipationSeptembre16[[#This Row],[E]:[N1]])</f>
        <v>0</v>
      </c>
    </row>
    <row r="13" spans="1:40" ht="16.5" customHeight="1">
      <c r="A13" s="6">
        <f t="shared" si="0"/>
        <v>7</v>
      </c>
      <c r="B13" s="135" t="s">
        <v>353</v>
      </c>
      <c r="C13" s="142" t="s">
        <v>354</v>
      </c>
      <c r="D13" s="16">
        <v>38485</v>
      </c>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9"/>
      <c r="AG13" s="7"/>
      <c r="AH13" s="7"/>
      <c r="AI13" s="7">
        <f>COUNTIF(ParticipationSeptembre16[[#This Row],[f. de nacimiento]:[30]],Code1)</f>
        <v>0</v>
      </c>
      <c r="AJ13" s="7">
        <f>COUNTIF(ParticipationSeptembre16[[#This Row],[f. de nacimiento]:[30]],Code2)</f>
        <v>0</v>
      </c>
      <c r="AK13" s="7">
        <f>COUNTIF(ParticipationSeptembre16[[#This Row],[f. de nacimiento]:[30]],Code3)</f>
        <v>0</v>
      </c>
      <c r="AL13" s="7">
        <f>COUNTIF(ParticipationSeptembre16[[#This Row],[f. de nacimiento]:[30]],Code4)</f>
        <v>0</v>
      </c>
      <c r="AM13" s="7">
        <f>SUM(ParticipationSeptembre16[[#This Row],[E]:[N1]])</f>
        <v>0</v>
      </c>
    </row>
    <row r="14" spans="1:40" ht="16.5" customHeight="1">
      <c r="A14" s="6">
        <f t="shared" si="0"/>
        <v>8</v>
      </c>
      <c r="B14" s="143" t="s">
        <v>236</v>
      </c>
      <c r="C14" s="137" t="s">
        <v>237</v>
      </c>
      <c r="D14" s="16">
        <v>39642</v>
      </c>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8"/>
      <c r="AI14" s="11">
        <f>COUNTIF(ParticipationSeptembre16[[#This Row],[f. de nacimiento]:[30]],Code1)</f>
        <v>0</v>
      </c>
      <c r="AJ14" s="120">
        <f>COUNTIF(ParticipationSeptembre16[[#This Row],[f. de nacimiento]:[30]],Code2)</f>
        <v>0</v>
      </c>
      <c r="AK14" s="120">
        <f>COUNTIF(ParticipationSeptembre16[[#This Row],[f. de nacimiento]:[30]],Code3)</f>
        <v>0</v>
      </c>
      <c r="AL14" s="120">
        <f>COUNTIF(ParticipationSeptembre16[[#This Row],[f. de nacimiento]:[30]],Code4)</f>
        <v>0</v>
      </c>
      <c r="AM14" s="12">
        <f>SUM(ParticipationSeptembre16[[#This Row],[E]:[N1]])</f>
        <v>0</v>
      </c>
    </row>
    <row r="15" spans="1:40" ht="16.5" customHeight="1">
      <c r="B15" s="124"/>
      <c r="C15" s="125"/>
      <c r="D15" s="121"/>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8"/>
      <c r="AI15" s="11">
        <f>COUNTIF(ParticipationSeptembre16[[#This Row],[f. de nacimiento]:[30]],Code1)</f>
        <v>0</v>
      </c>
      <c r="AJ15" s="120">
        <f>COUNTIF(ParticipationSeptembre16[[#This Row],[f. de nacimiento]:[30]],Code2)</f>
        <v>0</v>
      </c>
      <c r="AK15" s="120">
        <f>COUNTIF(ParticipationSeptembre16[[#This Row],[f. de nacimiento]:[30]],Code3)</f>
        <v>0</v>
      </c>
      <c r="AL15" s="120">
        <f>COUNTIF(ParticipationSeptembre16[[#This Row],[f. de nacimiento]:[30]],Code4)</f>
        <v>0</v>
      </c>
      <c r="AM15" s="12">
        <f>SUM(ParticipationSeptembre16[[#This Row],[E]:[N1]])</f>
        <v>0</v>
      </c>
    </row>
    <row r="16" spans="1:40" ht="16.5" customHeight="1">
      <c r="B16" s="124"/>
      <c r="C16" s="125"/>
      <c r="D16" s="121"/>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8"/>
      <c r="AI16" s="11">
        <f>COUNTIF(ParticipationSeptembre16[[#This Row],[f. de nacimiento]:[30]],Code1)</f>
        <v>0</v>
      </c>
      <c r="AJ16" s="120">
        <f>COUNTIF(ParticipationSeptembre16[[#This Row],[f. de nacimiento]:[30]],Code2)</f>
        <v>0</v>
      </c>
      <c r="AK16" s="120">
        <f>COUNTIF(ParticipationSeptembre16[[#This Row],[f. de nacimiento]:[30]],Code3)</f>
        <v>0</v>
      </c>
      <c r="AL16" s="120">
        <f>COUNTIF(ParticipationSeptembre16[[#This Row],[f. de nacimiento]:[30]],Code4)</f>
        <v>0</v>
      </c>
      <c r="AM16" s="12">
        <f>SUM(ParticipationSeptembre16[[#This Row],[E]:[N1]])</f>
        <v>0</v>
      </c>
    </row>
    <row r="17" spans="2:39" ht="16.5" customHeight="1">
      <c r="B17" s="124"/>
      <c r="C17" s="125"/>
      <c r="D17" s="121"/>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8"/>
      <c r="AI17" s="11">
        <f>COUNTIF(ParticipationSeptembre16[[#This Row],[f. de nacimiento]:[30]],Code1)</f>
        <v>0</v>
      </c>
      <c r="AJ17" s="120">
        <f>COUNTIF(ParticipationSeptembre16[[#This Row],[f. de nacimiento]:[30]],Code2)</f>
        <v>0</v>
      </c>
      <c r="AK17" s="120">
        <f>COUNTIF(ParticipationSeptembre16[[#This Row],[f. de nacimiento]:[30]],Code3)</f>
        <v>0</v>
      </c>
      <c r="AL17" s="120">
        <f>COUNTIF(ParticipationSeptembre16[[#This Row],[f. de nacimiento]:[30]],Code4)</f>
        <v>0</v>
      </c>
      <c r="AM17" s="12">
        <f>SUM(ParticipationSeptembre16[[#This Row],[E]:[N1]])</f>
        <v>0</v>
      </c>
    </row>
    <row r="18" spans="2:39" ht="16.5" customHeight="1">
      <c r="B18" s="104"/>
      <c r="C18" s="105" t="s">
        <v>78</v>
      </c>
      <c r="D18" s="107">
        <f>COUNTIF(ParticipationSeptembre16[f. de nacimiento],"N1")+COUNTIF(ParticipationSeptembre16[f. de nacimiento],"E")</f>
        <v>0</v>
      </c>
      <c r="E18" s="107">
        <f>COUNTIF(ParticipationSeptembre16[29],"N1")+COUNTIF(ParticipationSeptembre16[29],"E")</f>
        <v>0</v>
      </c>
      <c r="F18" s="107">
        <f>COUNTIF(ParticipationSeptembre16[6],"N1")+COUNTIF(ParticipationSeptembre16[6],"E")</f>
        <v>0</v>
      </c>
      <c r="G18" s="107">
        <f>COUNTIF(ParticipationSeptembre16[13],"N1")+COUNTIF(ParticipationSeptembre16[13],"E")</f>
        <v>0</v>
      </c>
      <c r="H18" s="107">
        <f>COUNTIF(ParticipationSeptembre16[20],"N1")+COUNTIF(ParticipationSeptembre16[20],"E")</f>
        <v>0</v>
      </c>
      <c r="I18" s="107">
        <f>COUNTIF(ParticipationSeptembre16[27],"N1")+COUNTIF(ParticipationSeptembre16[27],"E")</f>
        <v>0</v>
      </c>
      <c r="J18" s="107">
        <f>COUNTIF(ParticipationSeptembre16[3],"N1")+COUNTIF(ParticipationSeptembre16[3],"E")</f>
        <v>0</v>
      </c>
      <c r="K18" s="107">
        <f>COUNTIF(ParticipationSeptembre16[10],"N1")+COUNTIF(ParticipationSeptembre16[10],"E")</f>
        <v>0</v>
      </c>
      <c r="L18" s="107">
        <f>COUNTIF(ParticipationSeptembre16[17],"N1")+COUNTIF(ParticipationSeptembre16[17],"E")</f>
        <v>0</v>
      </c>
      <c r="M18" s="107">
        <f>COUNTIF(ParticipationSeptembre16[24],"N1")+COUNTIF(ParticipationSeptembre16[24],"E")</f>
        <v>0</v>
      </c>
      <c r="N18" s="107">
        <f>COUNTIF(ParticipationSeptembre16[14],"N1")+COUNTIF(ParticipationSeptembre16[14],"E")</f>
        <v>0</v>
      </c>
      <c r="O18" s="107">
        <f>COUNTIF(ParticipationSeptembre16[8],"N1")+COUNTIF(ParticipationSeptembre16[8],"E")</f>
        <v>0</v>
      </c>
      <c r="P18" s="107">
        <f>COUNTIF(ParticipationSeptembre16[15],"N1")+COUNTIF(ParticipationSeptembre16[15],"E")</f>
        <v>0</v>
      </c>
      <c r="Q18" s="107">
        <f>COUNTIF(ParticipationSeptembre16[12],"N1")+COUNTIF(ParticipationSeptembre16[12],"E")</f>
        <v>0</v>
      </c>
      <c r="R18" s="107">
        <f>COUNTIF(ParticipationSeptembre16[19],"N1")+COUNTIF(ParticipationSeptembre16[19],"E")</f>
        <v>0</v>
      </c>
      <c r="S18" s="107">
        <f>COUNTIF(ParticipationSeptembre16[26],"N1")+COUNTIF(ParticipationSeptembre16[26],"E")</f>
        <v>0</v>
      </c>
      <c r="T18" s="107">
        <f>COUNTIF(ParticipationSeptembre16[2],"N1")+COUNTIF(ParticipationSeptembre16[2],"E")</f>
        <v>0</v>
      </c>
      <c r="U18" s="107">
        <f>COUNTIF(ParticipationSeptembre16[9],"N1")+COUNTIF(ParticipationSeptembre16[9],"E")</f>
        <v>0</v>
      </c>
      <c r="V18" s="107">
        <f>COUNTIF(ParticipationSeptembre16[16],"N1")+COUNTIF(ParticipationSeptembre16[16],"E")</f>
        <v>0</v>
      </c>
      <c r="W18" s="107">
        <f>COUNTIF(ParticipationSeptembre16[23],"N1")+COUNTIF(ParticipationSeptembre16[23],"E")</f>
        <v>0</v>
      </c>
      <c r="X18" s="107">
        <f>COUNTIF(ParticipationSeptembre16[*8],"N1")+COUNTIF(ParticipationSeptembre16[*8],"E")</f>
        <v>0</v>
      </c>
      <c r="Y18" s="107">
        <f>COUNTIF(ParticipationSeptembre16[*15],"N1")+COUNTIF(ParticipationSeptembre16[*15],"E")</f>
        <v>0</v>
      </c>
      <c r="Z18" s="107">
        <f>COUNTIF(ParticipationSeptembre16[22],"N1")+COUNTIF(ParticipationSeptembre16[22],"E")</f>
        <v>0</v>
      </c>
      <c r="AA18" s="107">
        <f>COUNTIF(ParticipationSeptembre16[*29],"N1")+COUNTIF(ParticipationSeptembre16[*29],"E")</f>
        <v>0</v>
      </c>
      <c r="AB18" s="107">
        <f>COUNTIF(ParticipationSeptembre16[*19],"N1")+COUNTIF(ParticipationSeptembre16[*19],"E")</f>
        <v>0</v>
      </c>
      <c r="AC18" s="107">
        <f>COUNTIF(ParticipationSeptembre16[*26],"N1")+COUNTIF(ParticipationSeptembre16[*26],"E")</f>
        <v>0</v>
      </c>
      <c r="AD18" s="107">
        <f>COUNTIF(ParticipationSeptembre16[*3],"N1")+COUNTIF(ParticipationSeptembre16[*3],"E")</f>
        <v>0</v>
      </c>
      <c r="AE18" s="107">
        <f>COUNTIF(ParticipationSeptembre16[*10],"N1")+COUNTIF(ParticipationSeptembre16[*10],"E")</f>
        <v>0</v>
      </c>
      <c r="AF18" s="107">
        <f>COUNTIF(ParticipationSeptembre16[*17],"N1")+COUNTIF(ParticipationSeptembre16[*17],"E")</f>
        <v>0</v>
      </c>
      <c r="AG18" s="107">
        <f>COUNTIF(ParticipationSeptembre16[*24],"N1")+COUNTIF(ParticipationSeptembre16[*24],"E")</f>
        <v>0</v>
      </c>
      <c r="AH18" s="107">
        <f>COUNTIF(ParticipationSeptembre16[30],"N1")+COUNTIF(ParticipationSeptembre16[30],"E")</f>
        <v>0</v>
      </c>
      <c r="AI18" s="107">
        <f>SUBTOTAL(109,ParticipationSeptembre16[R])</f>
        <v>0</v>
      </c>
      <c r="AJ18" s="107">
        <f>SUBTOTAL(109,ParticipationSeptembre16[E])</f>
        <v>0</v>
      </c>
      <c r="AK18" s="107">
        <f>SUBTOTAL(109,ParticipationSeptembre16[N1])</f>
        <v>0</v>
      </c>
      <c r="AL18" s="107">
        <f>SUBTOTAL(109,ParticipationSeptembre16[P])</f>
        <v>0</v>
      </c>
      <c r="AM18" s="106"/>
    </row>
    <row r="19" spans="2:39" ht="16.5" customHeight="1"/>
    <row r="20" spans="2:39" ht="16.5" customHeight="1"/>
    <row r="21" spans="2:39" ht="16.5" customHeight="1"/>
    <row r="22" spans="2:39" ht="16.5" customHeight="1"/>
    <row r="23" spans="2:39" ht="16.5" customHeight="1"/>
    <row r="24" spans="2:39" ht="16.5" customHeight="1"/>
    <row r="25" spans="2:39" ht="16.5" customHeight="1"/>
    <row r="26" spans="2:39" ht="16.5" customHeight="1"/>
    <row r="27" spans="2:39" ht="16.5" customHeight="1"/>
    <row r="28" spans="2:39" ht="16.5" customHeight="1"/>
    <row r="29" spans="2:39" ht="16.5" customHeight="1"/>
    <row r="30" spans="2:39" ht="16.5" customHeight="1"/>
    <row r="31" spans="2:39" ht="16.5" customHeight="1"/>
    <row r="32" spans="2:39"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sheetData>
  <sheetProtection formatCells="0" formatColumns="0" formatRows="0" insertColumns="0" insertRows="0" insertHyperlinks="0" deleteColumns="0" deleteRows="0" sort="0" autoFilter="0" pivotTables="0"/>
  <mergeCells count="1">
    <mergeCell ref="AI5:AM5"/>
  </mergeCells>
  <conditionalFormatting sqref="AM7:AM17">
    <cfRule type="dataBar" priority="6">
      <dataBar>
        <cfvo type="min"/>
        <cfvo type="num" val="31"/>
        <color theme="4"/>
      </dataBar>
      <extLst>
        <ext xmlns:x14="http://schemas.microsoft.com/office/spreadsheetml/2009/9/main" uri="{B025F937-C7B1-47D3-B67F-A62EFF666E3E}">
          <x14:id>{5E13F847-9AAE-4B82-872A-F8FF3BD7C1C2}</x14:id>
        </ext>
      </extLst>
    </cfRule>
  </conditionalFormatting>
  <conditionalFormatting sqref="AG7:AI17">
    <cfRule type="expression" dxfId="163" priority="7" stopIfTrue="1">
      <formula>AG7=Code2</formula>
    </cfRule>
  </conditionalFormatting>
  <conditionalFormatting sqref="AG7:AH17">
    <cfRule type="expression" dxfId="162" priority="8" stopIfTrue="1">
      <formula>AG7=Code5</formula>
    </cfRule>
    <cfRule type="expression" dxfId="161" priority="9" stopIfTrue="1">
      <formula>AG7=Code4</formula>
    </cfRule>
    <cfRule type="expression" dxfId="160" priority="10" stopIfTrue="1">
      <formula>AG7=Code3</formula>
    </cfRule>
    <cfRule type="expression" dxfId="159" priority="11" stopIfTrue="1">
      <formula>AG7=Code1</formula>
    </cfRule>
  </conditionalFormatting>
  <conditionalFormatting sqref="D7:AF17">
    <cfRule type="expression" dxfId="158" priority="1" stopIfTrue="1">
      <formula>D7=Code2</formula>
    </cfRule>
  </conditionalFormatting>
  <conditionalFormatting sqref="D7:AF17">
    <cfRule type="expression" dxfId="157" priority="2" stopIfTrue="1">
      <formula>D7=Code5</formula>
    </cfRule>
    <cfRule type="expression" dxfId="156" priority="3" stopIfTrue="1">
      <formula>D7=Code4</formula>
    </cfRule>
    <cfRule type="expression" dxfId="155" priority="4" stopIfTrue="1">
      <formula>D7=Code3</formula>
    </cfRule>
    <cfRule type="expression" dxfId="154" priority="5" stopIfTrue="1">
      <formula>D7=Code1</formula>
    </cfRule>
  </conditionalFormatting>
  <dataValidations count="1">
    <dataValidation type="list" errorStyle="warning" allowBlank="1" showInputMessage="1" showErrorMessage="1" errorTitle="Whoops!" error="The Student ID you entered isn't on the Student List sheet. You can click Yes to use what you entered but that Student ID won't be available on the Student Attendance Report sheet." sqref="B7:B17">
      <formula1>IDÉtudiant</formula1>
    </dataValidation>
  </dataValidations>
  <printOptions horizontalCentered="1"/>
  <pageMargins left="0.51181102362204722" right="0.51181102362204722" top="0.74803149606299213" bottom="0.74803149606299213" header="0.31496062992125984" footer="0.31496062992125984"/>
  <pageSetup paperSize="5" scale="70" fitToHeight="0" orientation="landscape" r:id="rId1"/>
  <headerFooter>
    <oddHeader>&amp;CMisión Santa Teresa de Avila
Lista de presencia de los grupos de catequesis
2019-2020</oddHeader>
  </headerFooter>
  <ignoredErrors>
    <ignoredError sqref="B7:B14" listDataValidation="1"/>
  </ignoredError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5E13F847-9AAE-4B82-872A-F8FF3BD7C1C2}">
            <x14:dataBar minLength="0" maxLength="100" border="1" negativeBarBorderColorSameAsPositive="0">
              <x14:cfvo type="autoMin"/>
              <x14:cfvo type="num">
                <xm:f>31</xm:f>
              </x14:cfvo>
              <x14:borderColor theme="4"/>
              <x14:negativeFillColor rgb="FFFF0000"/>
              <x14:negativeBorderColor rgb="FFFF0000"/>
              <x14:axisColor rgb="FF000000"/>
            </x14:dataBar>
          </x14:cfRule>
          <xm:sqref>AM7:AM17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N345"/>
  <sheetViews>
    <sheetView showGridLines="0" zoomScaleNormal="100" workbookViewId="0">
      <pane xSplit="3" ySplit="6" topLeftCell="D10" activePane="bottomRight" state="frozen"/>
      <selection pane="topRight"/>
      <selection pane="bottomLeft"/>
      <selection pane="bottomRight" activeCell="AE33" sqref="AE33"/>
    </sheetView>
  </sheetViews>
  <sheetFormatPr baseColWidth="10" defaultColWidth="9.140625" defaultRowHeight="15" customHeight="1"/>
  <cols>
    <col min="1" max="1" width="2.7109375" style="12" customWidth="1"/>
    <col min="2" max="2" width="19.5703125" style="12" customWidth="1"/>
    <col min="3" max="3" width="23.7109375" style="13" customWidth="1"/>
    <col min="4" max="4" width="12" style="11" customWidth="1"/>
    <col min="5" max="34" width="5" style="11" customWidth="1"/>
    <col min="35" max="35" width="4.7109375" style="10" customWidth="1"/>
    <col min="36" max="36" width="4.7109375" style="11" customWidth="1"/>
    <col min="37" max="38" width="4.7109375" style="12" customWidth="1"/>
    <col min="39" max="39" width="9.85546875" style="12" customWidth="1"/>
    <col min="40" max="16384" width="9.140625" style="12"/>
  </cols>
  <sheetData>
    <row r="1" spans="1:40" s="1" customFormat="1" ht="42" customHeight="1">
      <c r="A1" s="102" t="s">
        <v>477</v>
      </c>
      <c r="B1" s="28"/>
      <c r="C1" s="28"/>
      <c r="D1" s="173"/>
      <c r="E1" s="172"/>
      <c r="F1" s="182"/>
      <c r="G1" s="183"/>
      <c r="H1" s="183"/>
      <c r="I1" s="182" t="s">
        <v>583</v>
      </c>
      <c r="J1" s="183"/>
      <c r="K1" s="183"/>
      <c r="L1" s="183"/>
      <c r="M1" s="183"/>
      <c r="N1" s="183"/>
      <c r="O1" s="183"/>
      <c r="P1" s="181"/>
      <c r="Q1" s="29"/>
      <c r="R1" s="29"/>
      <c r="S1" s="29"/>
      <c r="T1" s="29"/>
      <c r="U1" s="29"/>
      <c r="V1" s="29"/>
      <c r="W1" s="29"/>
      <c r="X1" s="29"/>
      <c r="Y1" s="29"/>
      <c r="Z1" s="29"/>
      <c r="AA1" s="29"/>
      <c r="AB1" s="29"/>
      <c r="AC1" s="28"/>
      <c r="AD1" s="28"/>
      <c r="AE1" s="28"/>
      <c r="AF1" s="28"/>
      <c r="AG1" s="30"/>
      <c r="AH1" s="28"/>
      <c r="AI1" s="28"/>
      <c r="AJ1" s="31"/>
      <c r="AK1" s="28"/>
      <c r="AL1" s="46" t="s">
        <v>117</v>
      </c>
      <c r="AM1" s="47">
        <v>2019</v>
      </c>
    </row>
    <row r="2" spans="1:40" customFormat="1" ht="13.5"/>
    <row r="3" spans="1:40" s="24" customFormat="1" ht="12.75" customHeight="1">
      <c r="B3" s="24" t="s">
        <v>116</v>
      </c>
      <c r="C3" s="34"/>
      <c r="D3" s="40" t="str">
        <f>Code1</f>
        <v>R</v>
      </c>
      <c r="E3" s="56" t="s">
        <v>118</v>
      </c>
      <c r="F3" s="48"/>
      <c r="H3" s="41" t="str">
        <f>Code2</f>
        <v>E</v>
      </c>
      <c r="I3" s="45" t="s">
        <v>119</v>
      </c>
      <c r="L3" s="42" t="str">
        <f>Code3</f>
        <v>N1</v>
      </c>
      <c r="M3" s="45" t="s">
        <v>123</v>
      </c>
      <c r="P3" s="43" t="str">
        <f>Code4</f>
        <v>P</v>
      </c>
      <c r="Q3" s="45" t="s">
        <v>121</v>
      </c>
      <c r="T3" s="44" t="str">
        <f>Code5</f>
        <v>N</v>
      </c>
      <c r="U3" s="45"/>
      <c r="W3"/>
      <c r="X3"/>
      <c r="Y3"/>
      <c r="AD3" s="23"/>
      <c r="AE3" s="23"/>
      <c r="AH3" s="25"/>
      <c r="AI3" s="26"/>
      <c r="AK3" s="27"/>
    </row>
    <row r="4" spans="1:40" customFormat="1" ht="16.5" customHeight="1"/>
    <row r="5" spans="1:40" s="2" customFormat="1" ht="18" customHeight="1">
      <c r="B5" s="176">
        <v>42277</v>
      </c>
      <c r="C5" s="49"/>
      <c r="D5" s="32"/>
      <c r="E5" s="110" t="s">
        <v>95</v>
      </c>
      <c r="F5" s="111" t="s">
        <v>96</v>
      </c>
      <c r="G5" s="112" t="s">
        <v>96</v>
      </c>
      <c r="H5" s="112" t="s">
        <v>96</v>
      </c>
      <c r="I5" s="112" t="s">
        <v>96</v>
      </c>
      <c r="J5" s="112" t="s">
        <v>97</v>
      </c>
      <c r="K5" s="112" t="s">
        <v>97</v>
      </c>
      <c r="L5" s="112" t="s">
        <v>97</v>
      </c>
      <c r="M5" s="112" t="s">
        <v>97</v>
      </c>
      <c r="N5" s="112" t="s">
        <v>98</v>
      </c>
      <c r="O5" s="112" t="s">
        <v>98</v>
      </c>
      <c r="P5" s="112" t="s">
        <v>98</v>
      </c>
      <c r="Q5" s="112" t="s">
        <v>99</v>
      </c>
      <c r="R5" s="112" t="s">
        <v>99</v>
      </c>
      <c r="S5" s="112" t="s">
        <v>99</v>
      </c>
      <c r="T5" s="112" t="s">
        <v>100</v>
      </c>
      <c r="U5" s="112" t="s">
        <v>100</v>
      </c>
      <c r="V5" s="112" t="s">
        <v>100</v>
      </c>
      <c r="W5" s="112" t="s">
        <v>100</v>
      </c>
      <c r="X5" s="112" t="s">
        <v>101</v>
      </c>
      <c r="Y5" s="112" t="s">
        <v>101</v>
      </c>
      <c r="Z5" s="112" t="s">
        <v>101</v>
      </c>
      <c r="AA5" s="112" t="s">
        <v>101</v>
      </c>
      <c r="AB5" s="112" t="s">
        <v>102</v>
      </c>
      <c r="AC5" s="112" t="s">
        <v>103</v>
      </c>
      <c r="AD5" s="112" t="s">
        <v>104</v>
      </c>
      <c r="AE5" s="112" t="s">
        <v>104</v>
      </c>
      <c r="AF5" s="112" t="s">
        <v>104</v>
      </c>
      <c r="AG5" s="112" t="s">
        <v>104</v>
      </c>
      <c r="AH5" s="112" t="s">
        <v>104</v>
      </c>
      <c r="AI5" s="190" t="s">
        <v>28</v>
      </c>
      <c r="AJ5" s="191"/>
      <c r="AK5" s="191"/>
      <c r="AL5" s="191"/>
      <c r="AM5" s="192"/>
    </row>
    <row r="6" spans="1:40" s="6" customFormat="1" ht="28.5" customHeight="1">
      <c r="B6" t="s">
        <v>451</v>
      </c>
      <c r="C6" t="s">
        <v>452</v>
      </c>
      <c r="D6" s="157" t="s">
        <v>552</v>
      </c>
      <c r="E6" s="3" t="s">
        <v>19</v>
      </c>
      <c r="F6" s="3" t="s">
        <v>2</v>
      </c>
      <c r="G6" s="3" t="s">
        <v>7</v>
      </c>
      <c r="H6" s="3" t="s">
        <v>13</v>
      </c>
      <c r="I6" s="3" t="s">
        <v>18</v>
      </c>
      <c r="J6" s="3" t="s">
        <v>1</v>
      </c>
      <c r="K6" s="3" t="s">
        <v>5</v>
      </c>
      <c r="L6" s="3" t="s">
        <v>11</v>
      </c>
      <c r="M6" s="3" t="s">
        <v>16</v>
      </c>
      <c r="N6" s="3" t="s">
        <v>8</v>
      </c>
      <c r="O6" s="3" t="s">
        <v>3</v>
      </c>
      <c r="P6" s="3" t="s">
        <v>9</v>
      </c>
      <c r="Q6" s="3" t="s">
        <v>6</v>
      </c>
      <c r="R6" s="3" t="s">
        <v>12</v>
      </c>
      <c r="S6" s="3" t="s">
        <v>17</v>
      </c>
      <c r="T6" s="3" t="s">
        <v>0</v>
      </c>
      <c r="U6" s="3" t="s">
        <v>4</v>
      </c>
      <c r="V6" s="3" t="s">
        <v>10</v>
      </c>
      <c r="W6" s="3" t="s">
        <v>15</v>
      </c>
      <c r="X6" s="3" t="s">
        <v>105</v>
      </c>
      <c r="Y6" s="3" t="s">
        <v>106</v>
      </c>
      <c r="Z6" s="3" t="s">
        <v>14</v>
      </c>
      <c r="AA6" s="3" t="s">
        <v>107</v>
      </c>
      <c r="AB6" s="3" t="s">
        <v>108</v>
      </c>
      <c r="AC6" s="3" t="s">
        <v>109</v>
      </c>
      <c r="AD6" s="3" t="s">
        <v>110</v>
      </c>
      <c r="AE6" s="3" t="s">
        <v>111</v>
      </c>
      <c r="AF6" s="3" t="s">
        <v>112</v>
      </c>
      <c r="AG6" s="3" t="s">
        <v>113</v>
      </c>
      <c r="AH6" s="3" t="s">
        <v>20</v>
      </c>
      <c r="AI6" s="81" t="s">
        <v>25</v>
      </c>
      <c r="AJ6" s="57" t="s">
        <v>26</v>
      </c>
      <c r="AK6" s="58" t="s">
        <v>81</v>
      </c>
      <c r="AL6" s="59" t="s">
        <v>21</v>
      </c>
      <c r="AM6" s="156" t="s">
        <v>122</v>
      </c>
      <c r="AN6" s="5"/>
    </row>
    <row r="7" spans="1:40" s="6" customFormat="1" ht="16.5" customHeight="1">
      <c r="A7" s="6">
        <v>1</v>
      </c>
      <c r="B7" s="134" t="s">
        <v>285</v>
      </c>
      <c r="C7" s="144" t="s">
        <v>286</v>
      </c>
      <c r="D7" s="16">
        <v>39444</v>
      </c>
      <c r="E7" s="16"/>
      <c r="F7" s="21"/>
      <c r="G7" s="21"/>
      <c r="H7" s="21"/>
      <c r="I7" s="21"/>
      <c r="J7" s="21"/>
      <c r="K7" s="21"/>
      <c r="L7" s="21"/>
      <c r="M7" s="21"/>
      <c r="N7" s="21"/>
      <c r="O7" s="21"/>
      <c r="P7" s="21"/>
      <c r="Q7" s="21"/>
      <c r="R7" s="21"/>
      <c r="S7" s="21"/>
      <c r="T7" s="21"/>
      <c r="U7" s="21"/>
      <c r="V7" s="21"/>
      <c r="W7" s="21"/>
      <c r="X7" s="21"/>
      <c r="Y7" s="21"/>
      <c r="Z7" s="21"/>
      <c r="AA7" s="21"/>
      <c r="AB7" s="21"/>
      <c r="AC7" s="21"/>
      <c r="AD7" s="21"/>
      <c r="AE7" s="21"/>
      <c r="AF7" s="22"/>
      <c r="AG7" s="20"/>
      <c r="AH7" s="20"/>
      <c r="AI7" s="7">
        <f>COUNTIF(ParticipationSeptembre162122232428[[#This Row],[fecha de nacimiento]:[30]],Code1)</f>
        <v>0</v>
      </c>
      <c r="AJ7" s="38">
        <f>COUNTIF(ParticipationSeptembre162122232428[[#This Row],[fecha de nacimiento]:[30]],Code2)</f>
        <v>0</v>
      </c>
      <c r="AK7" s="38">
        <f>COUNTIF(ParticipationSeptembre162122232428[[#This Row],[fecha de nacimiento]:[30]],Code3)</f>
        <v>0</v>
      </c>
      <c r="AL7" s="38">
        <f>COUNTIF(ParticipationSeptembre162122232428[[#This Row],[fecha de nacimiento]:[30]],Code4)</f>
        <v>0</v>
      </c>
      <c r="AM7" s="7">
        <f>SUM(ParticipationSeptembre162122232428[[#This Row],[E]:[N1]])</f>
        <v>0</v>
      </c>
      <c r="AN7" s="5"/>
    </row>
    <row r="8" spans="1:40" s="6" customFormat="1" ht="16.5" customHeight="1">
      <c r="A8" s="6">
        <f>1+A7</f>
        <v>2</v>
      </c>
      <c r="B8" s="134" t="s">
        <v>179</v>
      </c>
      <c r="C8" s="144" t="s">
        <v>180</v>
      </c>
      <c r="D8" s="16">
        <v>39325</v>
      </c>
      <c r="E8" s="16"/>
      <c r="F8" s="21"/>
      <c r="G8" s="21"/>
      <c r="H8" s="21"/>
      <c r="I8" s="21"/>
      <c r="J8" s="21"/>
      <c r="K8" s="21"/>
      <c r="L8" s="21"/>
      <c r="M8" s="21"/>
      <c r="N8" s="21"/>
      <c r="O8" s="21"/>
      <c r="P8" s="21"/>
      <c r="Q8" s="21"/>
      <c r="R8" s="21"/>
      <c r="S8" s="21"/>
      <c r="T8" s="21"/>
      <c r="U8" s="21"/>
      <c r="V8" s="21"/>
      <c r="W8" s="21"/>
      <c r="X8" s="21"/>
      <c r="Y8" s="21"/>
      <c r="Z8" s="21"/>
      <c r="AA8" s="21"/>
      <c r="AB8" s="21"/>
      <c r="AC8" s="21"/>
      <c r="AD8" s="21"/>
      <c r="AE8" s="21"/>
      <c r="AF8" s="22"/>
      <c r="AG8" s="20"/>
      <c r="AH8" s="20"/>
      <c r="AI8" s="7">
        <f>COUNTIF(ParticipationSeptembre162122232428[[#This Row],[fecha de nacimiento]:[30]],Code1)</f>
        <v>0</v>
      </c>
      <c r="AJ8" s="38">
        <f>COUNTIF(ParticipationSeptembre162122232428[[#This Row],[fecha de nacimiento]:[30]],Code2)</f>
        <v>0</v>
      </c>
      <c r="AK8" s="38">
        <f>COUNTIF(ParticipationSeptembre162122232428[[#This Row],[fecha de nacimiento]:[30]],Code3)</f>
        <v>0</v>
      </c>
      <c r="AL8" s="38">
        <f>COUNTIF(ParticipationSeptembre162122232428[[#This Row],[fecha de nacimiento]:[30]],Code4)</f>
        <v>0</v>
      </c>
      <c r="AM8" s="7">
        <f>SUM(ParticipationSeptembre162122232428[[#This Row],[E]:[N1]])</f>
        <v>0</v>
      </c>
      <c r="AN8" s="5"/>
    </row>
    <row r="9" spans="1:40" s="9" customFormat="1" ht="16.5" customHeight="1">
      <c r="A9" s="6">
        <f t="shared" ref="A9:A14" si="0">1+A8</f>
        <v>3</v>
      </c>
      <c r="B9" s="134" t="s">
        <v>161</v>
      </c>
      <c r="C9" s="144" t="s">
        <v>158</v>
      </c>
      <c r="D9" s="16">
        <v>39306</v>
      </c>
      <c r="E9" s="16"/>
      <c r="F9" s="21"/>
      <c r="G9" s="21"/>
      <c r="H9" s="21"/>
      <c r="I9" s="21"/>
      <c r="J9" s="21"/>
      <c r="K9" s="21"/>
      <c r="L9" s="21"/>
      <c r="M9" s="21"/>
      <c r="N9" s="21"/>
      <c r="O9" s="21"/>
      <c r="P9" s="21"/>
      <c r="Q9" s="21"/>
      <c r="R9" s="21"/>
      <c r="S9" s="21"/>
      <c r="T9" s="21"/>
      <c r="U9" s="21"/>
      <c r="V9" s="21"/>
      <c r="W9" s="21"/>
      <c r="X9" s="21"/>
      <c r="Y9" s="21"/>
      <c r="Z9" s="21"/>
      <c r="AA9" s="21"/>
      <c r="AB9" s="21"/>
      <c r="AC9" s="21"/>
      <c r="AD9" s="21"/>
      <c r="AE9" s="21"/>
      <c r="AF9" s="22"/>
      <c r="AG9" s="20"/>
      <c r="AH9" s="20"/>
      <c r="AI9" s="7">
        <f>COUNTIF(ParticipationSeptembre162122232428[[#This Row],[fecha de nacimiento]:[30]],Code1)</f>
        <v>0</v>
      </c>
      <c r="AJ9" s="38">
        <f>COUNTIF(ParticipationSeptembre162122232428[[#This Row],[fecha de nacimiento]:[30]],Code2)</f>
        <v>0</v>
      </c>
      <c r="AK9" s="38">
        <f>COUNTIF(ParticipationSeptembre162122232428[[#This Row],[fecha de nacimiento]:[30]],Code3)</f>
        <v>0</v>
      </c>
      <c r="AL9" s="38">
        <f>COUNTIF(ParticipationSeptembre162122232428[[#This Row],[fecha de nacimiento]:[30]],Code4)</f>
        <v>0</v>
      </c>
      <c r="AM9" s="7">
        <f>SUM(ParticipationSeptembre162122232428[[#This Row],[E]:[N1]])</f>
        <v>0</v>
      </c>
      <c r="AN9" s="8"/>
    </row>
    <row r="10" spans="1:40" ht="16.5" customHeight="1">
      <c r="A10" s="6">
        <f t="shared" si="0"/>
        <v>4</v>
      </c>
      <c r="B10" s="134" t="s">
        <v>200</v>
      </c>
      <c r="C10" s="144" t="s">
        <v>201</v>
      </c>
      <c r="D10" s="16">
        <v>39269</v>
      </c>
      <c r="E10" s="16"/>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2"/>
      <c r="AG10" s="20"/>
      <c r="AH10" s="20"/>
      <c r="AI10" s="7">
        <f>COUNTIF(ParticipationSeptembre162122232428[[#This Row],[fecha de nacimiento]:[30]],Code1)</f>
        <v>0</v>
      </c>
      <c r="AJ10" s="38">
        <f>COUNTIF(ParticipationSeptembre162122232428[[#This Row],[fecha de nacimiento]:[30]],Code2)</f>
        <v>0</v>
      </c>
      <c r="AK10" s="38">
        <f>COUNTIF(ParticipationSeptembre162122232428[[#This Row],[fecha de nacimiento]:[30]],Code3)</f>
        <v>0</v>
      </c>
      <c r="AL10" s="38">
        <f>COUNTIF(ParticipationSeptembre162122232428[[#This Row],[fecha de nacimiento]:[30]],Code4)</f>
        <v>0</v>
      </c>
      <c r="AM10" s="7">
        <f>SUM(ParticipationSeptembre162122232428[[#This Row],[E]:[N1]])</f>
        <v>0</v>
      </c>
      <c r="AN10" s="11"/>
    </row>
    <row r="11" spans="1:40" ht="16.5" customHeight="1">
      <c r="A11" s="6">
        <f t="shared" si="0"/>
        <v>5</v>
      </c>
      <c r="B11" s="134" t="s">
        <v>139</v>
      </c>
      <c r="C11" s="144" t="s">
        <v>132</v>
      </c>
      <c r="D11" s="16">
        <v>39237</v>
      </c>
      <c r="E11" s="16"/>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2"/>
      <c r="AG11" s="20"/>
      <c r="AH11" s="20"/>
      <c r="AI11" s="7">
        <f>COUNTIF(ParticipationSeptembre162122232428[[#This Row],[fecha de nacimiento]:[30]],Code1)</f>
        <v>0</v>
      </c>
      <c r="AJ11" s="38">
        <f>COUNTIF(ParticipationSeptembre162122232428[[#This Row],[fecha de nacimiento]:[30]],Code2)</f>
        <v>0</v>
      </c>
      <c r="AK11" s="38">
        <f>COUNTIF(ParticipationSeptembre162122232428[[#This Row],[fecha de nacimiento]:[30]],Code3)</f>
        <v>0</v>
      </c>
      <c r="AL11" s="38">
        <f>COUNTIF(ParticipationSeptembre162122232428[[#This Row],[fecha de nacimiento]:[30]],Code4)</f>
        <v>0</v>
      </c>
      <c r="AM11" s="7">
        <f>SUM(ParticipationSeptembre162122232428[[#This Row],[E]:[N1]])</f>
        <v>0</v>
      </c>
      <c r="AN11" s="11"/>
    </row>
    <row r="12" spans="1:40" ht="16.5" customHeight="1">
      <c r="A12" s="6">
        <f t="shared" si="0"/>
        <v>6</v>
      </c>
      <c r="B12" s="134" t="s">
        <v>390</v>
      </c>
      <c r="C12" s="144" t="s">
        <v>391</v>
      </c>
      <c r="D12" s="16">
        <v>39165</v>
      </c>
      <c r="E12" s="169"/>
      <c r="F12" s="174"/>
      <c r="G12" s="174"/>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8"/>
      <c r="AI12" s="11">
        <f>COUNTIF(ParticipationSeptembre162122232428[[#This Row],[fecha de nacimiento]:[30]],Code1)</f>
        <v>0</v>
      </c>
      <c r="AJ12" s="120">
        <f>COUNTIF(ParticipationSeptembre162122232428[[#This Row],[fecha de nacimiento]:[30]],Code2)</f>
        <v>0</v>
      </c>
      <c r="AK12" s="120">
        <f>COUNTIF(ParticipationSeptembre162122232428[[#This Row],[fecha de nacimiento]:[30]],Code3)</f>
        <v>0</v>
      </c>
      <c r="AL12" s="120">
        <f>COUNTIF(ParticipationSeptembre162122232428[[#This Row],[fecha de nacimiento]:[30]],Code4)</f>
        <v>0</v>
      </c>
      <c r="AM12" s="12">
        <f>SUM(ParticipationSeptembre162122232428[[#This Row],[E]:[N1]])</f>
        <v>0</v>
      </c>
    </row>
    <row r="13" spans="1:40" ht="16.5" customHeight="1">
      <c r="A13" s="6">
        <f t="shared" si="0"/>
        <v>7</v>
      </c>
      <c r="B13" s="135" t="s">
        <v>413</v>
      </c>
      <c r="C13" s="145" t="s">
        <v>414</v>
      </c>
      <c r="D13" s="16">
        <v>39160</v>
      </c>
      <c r="E13" s="175"/>
      <c r="F13" s="175"/>
      <c r="G13" s="175"/>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9"/>
      <c r="AG13" s="7"/>
      <c r="AH13" s="7"/>
      <c r="AI13" s="7">
        <f>COUNTIF(ParticipationSeptembre162122232428[[#This Row],[fecha de nacimiento]:[30]],Code1)</f>
        <v>0</v>
      </c>
      <c r="AJ13" s="7">
        <f>COUNTIF(ParticipationSeptembre162122232428[[#This Row],[fecha de nacimiento]:[30]],Code2)</f>
        <v>0</v>
      </c>
      <c r="AK13" s="7">
        <f>COUNTIF(ParticipationSeptembre162122232428[[#This Row],[fecha de nacimiento]:[30]],Code3)</f>
        <v>0</v>
      </c>
      <c r="AL13" s="7">
        <f>COUNTIF(ParticipationSeptembre162122232428[[#This Row],[fecha de nacimiento]:[30]],Code4)</f>
        <v>0</v>
      </c>
      <c r="AM13" s="7">
        <f>SUM(ParticipationSeptembre162122232428[[#This Row],[E]:[N1]])</f>
        <v>0</v>
      </c>
    </row>
    <row r="14" spans="1:40" ht="16.5" customHeight="1">
      <c r="A14" s="6">
        <f t="shared" si="0"/>
        <v>8</v>
      </c>
      <c r="B14" s="146" t="s">
        <v>166</v>
      </c>
      <c r="C14" s="147" t="s">
        <v>167</v>
      </c>
      <c r="D14" s="16">
        <v>39127</v>
      </c>
      <c r="E14" s="174"/>
      <c r="F14" s="174"/>
      <c r="G14" s="174"/>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8"/>
      <c r="AI14" s="11">
        <f>COUNTIF(ParticipationSeptembre162122232428[[#This Row],[fecha de nacimiento]:[30]],Code1)</f>
        <v>0</v>
      </c>
      <c r="AJ14" s="120">
        <f>COUNTIF(ParticipationSeptembre162122232428[[#This Row],[fecha de nacimiento]:[30]],Code2)</f>
        <v>0</v>
      </c>
      <c r="AK14" s="120">
        <f>COUNTIF(ParticipationSeptembre162122232428[[#This Row],[fecha de nacimiento]:[30]],Code3)</f>
        <v>0</v>
      </c>
      <c r="AL14" s="120">
        <f>COUNTIF(ParticipationSeptembre162122232428[[#This Row],[fecha de nacimiento]:[30]],Code4)</f>
        <v>0</v>
      </c>
      <c r="AM14" s="12">
        <f>SUM(ParticipationSeptembre162122232428[[#This Row],[E]:[N1]])</f>
        <v>0</v>
      </c>
    </row>
    <row r="15" spans="1:40" ht="16.5" customHeight="1">
      <c r="B15" s="134" t="s">
        <v>605</v>
      </c>
      <c r="C15" s="134" t="s">
        <v>606</v>
      </c>
      <c r="D15" s="113">
        <v>39291</v>
      </c>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8"/>
      <c r="AI15" s="11">
        <f>COUNTIF(ParticipationSeptembre162122232428[[#This Row],[fecha de nacimiento]:[30]],Code1)</f>
        <v>0</v>
      </c>
      <c r="AJ15" s="120">
        <f>COUNTIF(ParticipationSeptembre162122232428[[#This Row],[fecha de nacimiento]:[30]],Code2)</f>
        <v>0</v>
      </c>
      <c r="AK15" s="120">
        <f>COUNTIF(ParticipationSeptembre162122232428[[#This Row],[fecha de nacimiento]:[30]],Code3)</f>
        <v>0</v>
      </c>
      <c r="AL15" s="120">
        <f>COUNTIF(ParticipationSeptembre162122232428[[#This Row],[fecha de nacimiento]:[30]],Code4)</f>
        <v>0</v>
      </c>
      <c r="AM15" s="12">
        <f>SUM(ParticipationSeptembre162122232428[[#This Row],[E]:[N1]])</f>
        <v>0</v>
      </c>
    </row>
    <row r="16" spans="1:40" ht="16.5" customHeight="1">
      <c r="B16" s="148"/>
      <c r="C16" s="149"/>
      <c r="D16" s="127"/>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8"/>
      <c r="AI16" s="11">
        <f>COUNTIF(ParticipationSeptembre162122232428[[#This Row],[fecha de nacimiento]:[30]],Code1)</f>
        <v>0</v>
      </c>
      <c r="AJ16" s="120">
        <f>COUNTIF(ParticipationSeptembre162122232428[[#This Row],[fecha de nacimiento]:[30]],Code2)</f>
        <v>0</v>
      </c>
      <c r="AK16" s="120">
        <f>COUNTIF(ParticipationSeptembre162122232428[[#This Row],[fecha de nacimiento]:[30]],Code3)</f>
        <v>0</v>
      </c>
      <c r="AL16" s="120">
        <f>COUNTIF(ParticipationSeptembre162122232428[[#This Row],[fecha de nacimiento]:[30]],Code4)</f>
        <v>0</v>
      </c>
      <c r="AM16" s="12">
        <f>SUM(ParticipationSeptembre162122232428[[#This Row],[E]:[N1]])</f>
        <v>0</v>
      </c>
    </row>
    <row r="17" spans="2:39" ht="16.5" customHeight="1">
      <c r="B17" s="148"/>
      <c r="C17" s="149"/>
      <c r="D17" s="127"/>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8"/>
      <c r="AI17" s="11">
        <f>COUNTIF(ParticipationSeptembre162122232428[[#This Row],[fecha de nacimiento]:[30]],Code1)</f>
        <v>0</v>
      </c>
      <c r="AJ17" s="120">
        <f>COUNTIF(ParticipationSeptembre162122232428[[#This Row],[fecha de nacimiento]:[30]],Code2)</f>
        <v>0</v>
      </c>
      <c r="AK17" s="120">
        <f>COUNTIF(ParticipationSeptembre162122232428[[#This Row],[fecha de nacimiento]:[30]],Code3)</f>
        <v>0</v>
      </c>
      <c r="AL17" s="120">
        <f>COUNTIF(ParticipationSeptembre162122232428[[#This Row],[fecha de nacimiento]:[30]],Code4)</f>
        <v>0</v>
      </c>
      <c r="AM17" s="12">
        <f>SUM(ParticipationSeptembre162122232428[[#This Row],[E]:[N1]])</f>
        <v>0</v>
      </c>
    </row>
    <row r="18" spans="2:39" ht="16.5" customHeight="1">
      <c r="B18" s="104"/>
      <c r="C18" s="105" t="s">
        <v>78</v>
      </c>
      <c r="D18" s="107">
        <f>COUNTIF(ParticipationSeptembre162122232428[fecha de nacimiento],"N1")+COUNTIF(ParticipationSeptembre162122232428[fecha de nacimiento],"E")</f>
        <v>0</v>
      </c>
      <c r="E18" s="107">
        <f>COUNTIF(ParticipationSeptembre162122232428[29],"N1")+COUNTIF(ParticipationSeptembre162122232428[29],"E")</f>
        <v>0</v>
      </c>
      <c r="F18" s="107">
        <f>COUNTIF(ParticipationSeptembre162122232428[6],"N1")+COUNTIF(ParticipationSeptembre162122232428[6],"E")</f>
        <v>0</v>
      </c>
      <c r="G18" s="107">
        <f>COUNTIF(ParticipationSeptembre162122232428[13],"N1")+COUNTIF(ParticipationSeptembre162122232428[13],"E")</f>
        <v>0</v>
      </c>
      <c r="H18" s="107">
        <f>COUNTIF(ParticipationSeptembre162122232428[20],"N1")+COUNTIF(ParticipationSeptembre162122232428[20],"E")</f>
        <v>0</v>
      </c>
      <c r="I18" s="107">
        <f>COUNTIF(ParticipationSeptembre162122232428[27],"N1")+COUNTIF(ParticipationSeptembre162122232428[27],"E")</f>
        <v>0</v>
      </c>
      <c r="J18" s="107">
        <f>COUNTIF(ParticipationSeptembre162122232428[3],"N1")+COUNTIF(ParticipationSeptembre162122232428[3],"E")</f>
        <v>0</v>
      </c>
      <c r="K18" s="107">
        <f>COUNTIF(ParticipationSeptembre162122232428[10],"N1")+COUNTIF(ParticipationSeptembre162122232428[10],"E")</f>
        <v>0</v>
      </c>
      <c r="L18" s="107">
        <f>COUNTIF(ParticipationSeptembre162122232428[17],"N1")+COUNTIF(ParticipationSeptembre162122232428[17],"E")</f>
        <v>0</v>
      </c>
      <c r="M18" s="107">
        <f>COUNTIF(ParticipationSeptembre162122232428[24],"N1")+COUNTIF(ParticipationSeptembre162122232428[24],"E")</f>
        <v>0</v>
      </c>
      <c r="N18" s="107">
        <f>COUNTIF(ParticipationSeptembre162122232428[14],"N1")+COUNTIF(ParticipationSeptembre162122232428[14],"E")</f>
        <v>0</v>
      </c>
      <c r="O18" s="107">
        <f>COUNTIF(ParticipationSeptembre162122232428[8],"N1")+COUNTIF(ParticipationSeptembre162122232428[8],"E")</f>
        <v>0</v>
      </c>
      <c r="P18" s="107">
        <f>COUNTIF(ParticipationSeptembre162122232428[15],"N1")+COUNTIF(ParticipationSeptembre162122232428[15],"E")</f>
        <v>0</v>
      </c>
      <c r="Q18" s="107">
        <f>COUNTIF(ParticipationSeptembre162122232428[12],"N1")+COUNTIF(ParticipationSeptembre162122232428[12],"E")</f>
        <v>0</v>
      </c>
      <c r="R18" s="107">
        <f>COUNTIF(ParticipationSeptembre162122232428[19],"N1")+COUNTIF(ParticipationSeptembre162122232428[19],"E")</f>
        <v>0</v>
      </c>
      <c r="S18" s="107">
        <f>COUNTIF(ParticipationSeptembre162122232428[26],"N1")+COUNTIF(ParticipationSeptembre162122232428[26],"E")</f>
        <v>0</v>
      </c>
      <c r="T18" s="107">
        <f>COUNTIF(ParticipationSeptembre162122232428[2],"N1")+COUNTIF(ParticipationSeptembre162122232428[2],"E")</f>
        <v>0</v>
      </c>
      <c r="U18" s="107">
        <f>COUNTIF(ParticipationSeptembre162122232428[9],"N1")+COUNTIF(ParticipationSeptembre162122232428[9],"E")</f>
        <v>0</v>
      </c>
      <c r="V18" s="107">
        <f>COUNTIF(ParticipationSeptembre162122232428[16],"N1")+COUNTIF(ParticipationSeptembre162122232428[16],"E")</f>
        <v>0</v>
      </c>
      <c r="W18" s="107">
        <f>COUNTIF(ParticipationSeptembre162122232428[23],"N1")+COUNTIF(ParticipationSeptembre162122232428[23],"E")</f>
        <v>0</v>
      </c>
      <c r="X18" s="107">
        <f>COUNTIF(ParticipationSeptembre162122232428[*8],"N1")+COUNTIF(ParticipationSeptembre162122232428[*8],"E")</f>
        <v>0</v>
      </c>
      <c r="Y18" s="107">
        <f>COUNTIF(ParticipationSeptembre162122232428[*15],"N1")+COUNTIF(ParticipationSeptembre162122232428[*15],"E")</f>
        <v>0</v>
      </c>
      <c r="Z18" s="107">
        <f>COUNTIF(ParticipationSeptembre162122232428[22],"N1")+COUNTIF(ParticipationSeptembre162122232428[22],"E")</f>
        <v>0</v>
      </c>
      <c r="AA18" s="107">
        <f>COUNTIF(ParticipationSeptembre162122232428[*29],"N1")+COUNTIF(ParticipationSeptembre162122232428[*29],"E")</f>
        <v>0</v>
      </c>
      <c r="AB18" s="107">
        <f>COUNTIF(ParticipationSeptembre162122232428[*19],"N1")+COUNTIF(ParticipationSeptembre162122232428[*19],"E")</f>
        <v>0</v>
      </c>
      <c r="AC18" s="107">
        <f>COUNTIF(ParticipationSeptembre162122232428[*26],"N1")+COUNTIF(ParticipationSeptembre162122232428[*26],"E")</f>
        <v>0</v>
      </c>
      <c r="AD18" s="107">
        <f>COUNTIF(ParticipationSeptembre162122232428[*3],"N1")+COUNTIF(ParticipationSeptembre162122232428[*3],"E")</f>
        <v>0</v>
      </c>
      <c r="AE18" s="107">
        <f>COUNTIF(ParticipationSeptembre162122232428[*10],"N1")+COUNTIF(ParticipationSeptembre162122232428[*10],"E")</f>
        <v>0</v>
      </c>
      <c r="AF18" s="107">
        <f>COUNTIF(ParticipationSeptembre162122232428[*17],"N1")+COUNTIF(ParticipationSeptembre162122232428[*17],"E")</f>
        <v>0</v>
      </c>
      <c r="AG18" s="107">
        <f>COUNTIF(ParticipationSeptembre162122232428[*24],"N1")+COUNTIF(ParticipationSeptembre162122232428[*24],"E")</f>
        <v>0</v>
      </c>
      <c r="AH18" s="107">
        <f>COUNTIF(ParticipationSeptembre162122232428[30],"N1")+COUNTIF(ParticipationSeptembre162122232428[30],"E")</f>
        <v>0</v>
      </c>
      <c r="AI18" s="107">
        <f>SUBTOTAL(109,ParticipationSeptembre162122232428[R])</f>
        <v>0</v>
      </c>
      <c r="AJ18" s="107">
        <f>SUBTOTAL(109,ParticipationSeptembre162122232428[E])</f>
        <v>0</v>
      </c>
      <c r="AK18" s="107">
        <f>SUBTOTAL(109,ParticipationSeptembre162122232428[N1])</f>
        <v>0</v>
      </c>
      <c r="AL18" s="107">
        <f>SUBTOTAL(109,ParticipationSeptembre162122232428[P])</f>
        <v>0</v>
      </c>
      <c r="AM18" s="106"/>
    </row>
    <row r="19" spans="2:39" ht="16.5" customHeight="1"/>
    <row r="20" spans="2:39" ht="16.5" customHeight="1"/>
    <row r="21" spans="2:39" ht="16.5" customHeight="1"/>
    <row r="22" spans="2:39" ht="16.5" customHeight="1"/>
    <row r="23" spans="2:39" ht="16.5" customHeight="1"/>
    <row r="24" spans="2:39" ht="16.5" customHeight="1"/>
    <row r="25" spans="2:39" ht="16.5" customHeight="1"/>
    <row r="26" spans="2:39" ht="16.5" customHeight="1"/>
    <row r="27" spans="2:39" ht="16.5" customHeight="1"/>
    <row r="28" spans="2:39" ht="16.5" customHeight="1"/>
    <row r="29" spans="2:39" ht="16.5" customHeight="1"/>
    <row r="30" spans="2:39" ht="16.5" customHeight="1"/>
    <row r="31" spans="2:39" ht="16.5" customHeight="1"/>
    <row r="32" spans="2:39"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sheetData>
  <sheetProtection formatCells="0" formatColumns="0" formatRows="0" insertColumns="0" insertRows="0" insertHyperlinks="0" deleteColumns="0" deleteRows="0" sort="0" autoFilter="0" pivotTables="0"/>
  <mergeCells count="1">
    <mergeCell ref="AI5:AM5"/>
  </mergeCells>
  <conditionalFormatting sqref="AG7:AI17">
    <cfRule type="expression" dxfId="153" priority="8" stopIfTrue="1">
      <formula>AG7=Code2</formula>
    </cfRule>
  </conditionalFormatting>
  <conditionalFormatting sqref="AG7:AH17">
    <cfRule type="expression" dxfId="152" priority="9" stopIfTrue="1">
      <formula>AG7=Code5</formula>
    </cfRule>
    <cfRule type="expression" dxfId="151" priority="10" stopIfTrue="1">
      <formula>AG7=Code4</formula>
    </cfRule>
    <cfRule type="expression" dxfId="150" priority="11" stopIfTrue="1">
      <formula>AG7=Code3</formula>
    </cfRule>
    <cfRule type="expression" dxfId="149" priority="12" stopIfTrue="1">
      <formula>AG7=Code1</formula>
    </cfRule>
  </conditionalFormatting>
  <conditionalFormatting sqref="D7:AF14">
    <cfRule type="expression" dxfId="148" priority="2" stopIfTrue="1">
      <formula>D7=Code2</formula>
    </cfRule>
  </conditionalFormatting>
  <conditionalFormatting sqref="D7:AF14">
    <cfRule type="expression" dxfId="147" priority="3" stopIfTrue="1">
      <formula>D7=Code5</formula>
    </cfRule>
    <cfRule type="expression" dxfId="146" priority="4" stopIfTrue="1">
      <formula>D7=Code4</formula>
    </cfRule>
    <cfRule type="expression" dxfId="145" priority="5" stopIfTrue="1">
      <formula>D7=Code3</formula>
    </cfRule>
    <cfRule type="expression" dxfId="144" priority="6" stopIfTrue="1">
      <formula>D7=Code1</formula>
    </cfRule>
  </conditionalFormatting>
  <conditionalFormatting sqref="AM7:AM17">
    <cfRule type="dataBar" priority="205">
      <dataBar>
        <cfvo type="min"/>
        <cfvo type="num" val="31"/>
        <color theme="4"/>
      </dataBar>
      <extLst>
        <ext xmlns:x14="http://schemas.microsoft.com/office/spreadsheetml/2009/9/main" uri="{B025F937-C7B1-47D3-B67F-A62EFF666E3E}">
          <x14:id>{12093CF0-2310-4660-8943-28287041F333}</x14:id>
        </ext>
      </extLst>
    </cfRule>
  </conditionalFormatting>
  <dataValidations count="1">
    <dataValidation type="list" errorStyle="warning" allowBlank="1" showInputMessage="1" showErrorMessage="1" errorTitle="Whoops!" error="The Student ID you entered isn't on the Student List sheet. You can click Yes to use what you entered but that Student ID won't be available on the Student Attendance Report sheet." sqref="B7:B17">
      <formula1>IDÉtudiant</formula1>
    </dataValidation>
  </dataValidations>
  <printOptions horizontalCentered="1"/>
  <pageMargins left="0.51181102362204722" right="0.51181102362204722" top="0.74803149606299213" bottom="0.74803149606299213" header="0.31496062992125984" footer="0.31496062992125984"/>
  <pageSetup paperSize="5" scale="70" fitToHeight="0" orientation="landscape" r:id="rId1"/>
  <headerFooter>
    <oddHeader>&amp;CMisión Santa Teresa de Avila
Lista de presencia de los grupos de catequesis
2019-2020</oddHeader>
  </headerFooter>
  <ignoredErrors>
    <ignoredError sqref="B7:D13 B14:D14" listDataValidation="1"/>
  </ignoredError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12093CF0-2310-4660-8943-28287041F333}">
            <x14:dataBar minLength="0" maxLength="100" border="1" negativeBarBorderColorSameAsPositive="0">
              <x14:cfvo type="autoMin"/>
              <x14:cfvo type="num">
                <xm:f>31</xm:f>
              </x14:cfvo>
              <x14:borderColor theme="4"/>
              <x14:negativeFillColor rgb="FFFF0000"/>
              <x14:negativeBorderColor rgb="FFFF0000"/>
              <x14:axisColor rgb="FF000000"/>
            </x14:dataBar>
          </x14:cfRule>
          <xm:sqref>AM7:AM17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N346"/>
  <sheetViews>
    <sheetView showGridLines="0" zoomScaleNormal="100" workbookViewId="0">
      <pane xSplit="3" ySplit="6" topLeftCell="D7" activePane="bottomRight" state="frozen"/>
      <selection pane="topRight"/>
      <selection pane="bottomLeft"/>
      <selection pane="bottomRight" activeCell="C13" sqref="C13"/>
    </sheetView>
  </sheetViews>
  <sheetFormatPr baseColWidth="10" defaultColWidth="9.140625" defaultRowHeight="15" customHeight="1"/>
  <cols>
    <col min="1" max="1" width="2.7109375" style="12" customWidth="1"/>
    <col min="2" max="2" width="19.5703125" style="12" customWidth="1"/>
    <col min="3" max="3" width="23" style="13" customWidth="1"/>
    <col min="4" max="4" width="11.5703125" style="11" customWidth="1"/>
    <col min="5" max="34" width="5" style="11" customWidth="1"/>
    <col min="35" max="35" width="4.7109375" style="10" customWidth="1"/>
    <col min="36" max="36" width="4.7109375" style="11" customWidth="1"/>
    <col min="37" max="38" width="4.7109375" style="12" customWidth="1"/>
    <col min="39" max="39" width="10.42578125" style="12" customWidth="1"/>
    <col min="40" max="16384" width="9.140625" style="12"/>
  </cols>
  <sheetData>
    <row r="1" spans="1:40" s="1" customFormat="1" ht="42" customHeight="1">
      <c r="A1" s="102" t="s">
        <v>477</v>
      </c>
      <c r="B1" s="28"/>
      <c r="C1" s="28"/>
      <c r="D1" s="28"/>
      <c r="E1" s="29"/>
      <c r="F1" s="29"/>
      <c r="G1" s="29"/>
      <c r="H1" s="29"/>
      <c r="I1" s="178" t="s">
        <v>478</v>
      </c>
      <c r="J1" s="178"/>
      <c r="K1" s="178"/>
      <c r="L1" s="178"/>
      <c r="M1" s="178"/>
      <c r="N1" s="178"/>
      <c r="O1" s="178"/>
      <c r="P1" s="178"/>
      <c r="Q1" s="178"/>
      <c r="R1" s="178"/>
      <c r="S1" s="178"/>
      <c r="T1" s="178"/>
      <c r="U1" s="178"/>
      <c r="V1" s="178"/>
      <c r="W1" s="29"/>
      <c r="X1" s="29"/>
      <c r="Y1" s="29"/>
      <c r="Z1" s="29"/>
      <c r="AA1" s="29"/>
      <c r="AB1" s="29"/>
      <c r="AC1" s="28"/>
      <c r="AD1" s="28"/>
      <c r="AE1" s="28"/>
      <c r="AF1" s="28"/>
      <c r="AG1" s="30"/>
      <c r="AH1" s="28"/>
      <c r="AI1" s="28"/>
      <c r="AJ1" s="31"/>
      <c r="AK1" s="28"/>
      <c r="AL1" s="46" t="s">
        <v>117</v>
      </c>
      <c r="AM1" s="47">
        <v>2019</v>
      </c>
    </row>
    <row r="2" spans="1:40" customFormat="1" ht="13.5"/>
    <row r="3" spans="1:40" s="24" customFormat="1" ht="12.75" customHeight="1">
      <c r="B3" s="28" t="s">
        <v>116</v>
      </c>
      <c r="C3" s="34"/>
      <c r="D3" s="40" t="str">
        <f>Code1</f>
        <v>R</v>
      </c>
      <c r="E3" s="56" t="s">
        <v>118</v>
      </c>
      <c r="F3" s="48"/>
      <c r="H3" s="41" t="str">
        <f>Code2</f>
        <v>E</v>
      </c>
      <c r="I3" s="45" t="s">
        <v>119</v>
      </c>
      <c r="L3" s="42" t="str">
        <f>Code3</f>
        <v>N1</v>
      </c>
      <c r="M3" s="45" t="s">
        <v>123</v>
      </c>
      <c r="P3" s="43" t="str">
        <f>Code4</f>
        <v>P</v>
      </c>
      <c r="Q3" s="45" t="s">
        <v>121</v>
      </c>
      <c r="T3" s="44" t="str">
        <f>Code5</f>
        <v>N</v>
      </c>
      <c r="U3" s="45"/>
      <c r="W3"/>
      <c r="X3"/>
      <c r="Y3"/>
      <c r="AD3" s="23"/>
      <c r="AE3" s="23"/>
      <c r="AH3" s="25"/>
      <c r="AI3" s="26"/>
      <c r="AK3" s="27"/>
    </row>
    <row r="4" spans="1:40" customFormat="1" ht="16.5" customHeight="1"/>
    <row r="5" spans="1:40" s="2" customFormat="1" ht="18" customHeight="1">
      <c r="B5" s="176">
        <v>42277</v>
      </c>
      <c r="C5" s="49"/>
      <c r="D5" s="32"/>
      <c r="E5" s="110" t="s">
        <v>95</v>
      </c>
      <c r="F5" s="111" t="s">
        <v>96</v>
      </c>
      <c r="G5" s="112" t="s">
        <v>96</v>
      </c>
      <c r="H5" s="112" t="s">
        <v>96</v>
      </c>
      <c r="I5" s="112" t="s">
        <v>96</v>
      </c>
      <c r="J5" s="112" t="s">
        <v>97</v>
      </c>
      <c r="K5" s="112" t="s">
        <v>97</v>
      </c>
      <c r="L5" s="112" t="s">
        <v>97</v>
      </c>
      <c r="M5" s="112" t="s">
        <v>97</v>
      </c>
      <c r="N5" s="112" t="s">
        <v>98</v>
      </c>
      <c r="O5" s="112" t="s">
        <v>98</v>
      </c>
      <c r="P5" s="112" t="s">
        <v>98</v>
      </c>
      <c r="Q5" s="112" t="s">
        <v>99</v>
      </c>
      <c r="R5" s="112" t="s">
        <v>99</v>
      </c>
      <c r="S5" s="112" t="s">
        <v>99</v>
      </c>
      <c r="T5" s="112" t="s">
        <v>100</v>
      </c>
      <c r="U5" s="112" t="s">
        <v>100</v>
      </c>
      <c r="V5" s="112" t="s">
        <v>100</v>
      </c>
      <c r="W5" s="112" t="s">
        <v>100</v>
      </c>
      <c r="X5" s="112" t="s">
        <v>101</v>
      </c>
      <c r="Y5" s="112" t="s">
        <v>101</v>
      </c>
      <c r="Z5" s="112" t="s">
        <v>101</v>
      </c>
      <c r="AA5" s="112" t="s">
        <v>101</v>
      </c>
      <c r="AB5" s="112" t="s">
        <v>102</v>
      </c>
      <c r="AC5" s="112" t="s">
        <v>103</v>
      </c>
      <c r="AD5" s="112" t="s">
        <v>104</v>
      </c>
      <c r="AE5" s="112" t="s">
        <v>104</v>
      </c>
      <c r="AF5" s="112" t="s">
        <v>104</v>
      </c>
      <c r="AG5" s="112" t="s">
        <v>104</v>
      </c>
      <c r="AH5" s="112" t="s">
        <v>104</v>
      </c>
      <c r="AI5" s="190" t="s">
        <v>28</v>
      </c>
      <c r="AJ5" s="191"/>
      <c r="AK5" s="191"/>
      <c r="AL5" s="191"/>
      <c r="AM5" s="192"/>
    </row>
    <row r="6" spans="1:40" s="6" customFormat="1" ht="27.75" customHeight="1">
      <c r="B6" t="s">
        <v>451</v>
      </c>
      <c r="C6" t="s">
        <v>452</v>
      </c>
      <c r="D6" s="157" t="s">
        <v>552</v>
      </c>
      <c r="E6" s="3" t="s">
        <v>19</v>
      </c>
      <c r="F6" s="3" t="s">
        <v>2</v>
      </c>
      <c r="G6" s="3" t="s">
        <v>7</v>
      </c>
      <c r="H6" s="3" t="s">
        <v>13</v>
      </c>
      <c r="I6" s="3" t="s">
        <v>18</v>
      </c>
      <c r="J6" s="3" t="s">
        <v>1</v>
      </c>
      <c r="K6" s="3" t="s">
        <v>5</v>
      </c>
      <c r="L6" s="3" t="s">
        <v>11</v>
      </c>
      <c r="M6" s="3" t="s">
        <v>16</v>
      </c>
      <c r="N6" s="3" t="s">
        <v>8</v>
      </c>
      <c r="O6" s="3" t="s">
        <v>3</v>
      </c>
      <c r="P6" s="3" t="s">
        <v>9</v>
      </c>
      <c r="Q6" s="3" t="s">
        <v>6</v>
      </c>
      <c r="R6" s="3" t="s">
        <v>12</v>
      </c>
      <c r="S6" s="3" t="s">
        <v>17</v>
      </c>
      <c r="T6" s="3" t="s">
        <v>0</v>
      </c>
      <c r="U6" s="3" t="s">
        <v>4</v>
      </c>
      <c r="V6" s="3" t="s">
        <v>10</v>
      </c>
      <c r="W6" s="3" t="s">
        <v>15</v>
      </c>
      <c r="X6" s="3" t="s">
        <v>105</v>
      </c>
      <c r="Y6" s="3" t="s">
        <v>106</v>
      </c>
      <c r="Z6" s="3" t="s">
        <v>14</v>
      </c>
      <c r="AA6" s="3" t="s">
        <v>107</v>
      </c>
      <c r="AB6" s="3" t="s">
        <v>108</v>
      </c>
      <c r="AC6" s="3" t="s">
        <v>109</v>
      </c>
      <c r="AD6" s="3" t="s">
        <v>110</v>
      </c>
      <c r="AE6" s="3" t="s">
        <v>111</v>
      </c>
      <c r="AF6" s="3" t="s">
        <v>112</v>
      </c>
      <c r="AG6" s="3" t="s">
        <v>113</v>
      </c>
      <c r="AH6" s="3" t="s">
        <v>20</v>
      </c>
      <c r="AI6" s="81" t="s">
        <v>25</v>
      </c>
      <c r="AJ6" s="57" t="s">
        <v>26</v>
      </c>
      <c r="AK6" s="58" t="s">
        <v>81</v>
      </c>
      <c r="AL6" s="59" t="s">
        <v>21</v>
      </c>
      <c r="AM6" s="156" t="s">
        <v>122</v>
      </c>
      <c r="AN6" s="5"/>
    </row>
    <row r="7" spans="1:40" s="6" customFormat="1" ht="16.5" customHeight="1">
      <c r="E7" s="16"/>
      <c r="F7" s="21"/>
      <c r="G7" s="21"/>
      <c r="H7" s="21"/>
      <c r="I7" s="21"/>
      <c r="J7" s="21"/>
      <c r="K7" s="21"/>
      <c r="L7" s="21"/>
      <c r="M7" s="21"/>
      <c r="N7" s="21"/>
      <c r="O7" s="21"/>
      <c r="P7" s="21"/>
      <c r="Q7" s="21"/>
      <c r="R7" s="21"/>
      <c r="S7" s="21"/>
      <c r="T7" s="21"/>
      <c r="U7" s="21"/>
      <c r="V7" s="21"/>
      <c r="W7" s="21"/>
      <c r="X7" s="21"/>
      <c r="Y7" s="21"/>
      <c r="Z7" s="21"/>
      <c r="AA7" s="21"/>
      <c r="AB7" s="21"/>
      <c r="AC7" s="21"/>
      <c r="AD7" s="21"/>
      <c r="AE7" s="21"/>
      <c r="AF7" s="22"/>
      <c r="AG7" s="20"/>
      <c r="AH7" s="20"/>
      <c r="AI7" s="7">
        <f>COUNTIF(ParticipationSeptembre16212223242830[[#This Row],[fecha de nacimiento]:[30]],Code1)</f>
        <v>0</v>
      </c>
      <c r="AJ7" s="38">
        <f>COUNTIF(ParticipationSeptembre16212223242830[[#This Row],[fecha de nacimiento]:[30]],Code2)</f>
        <v>0</v>
      </c>
      <c r="AK7" s="38">
        <f>COUNTIF(ParticipationSeptembre16212223242830[[#This Row],[fecha de nacimiento]:[30]],Code3)</f>
        <v>0</v>
      </c>
      <c r="AL7" s="38">
        <f>COUNTIF(ParticipationSeptembre16212223242830[[#This Row],[fecha de nacimiento]:[30]],Code4)</f>
        <v>0</v>
      </c>
      <c r="AM7" s="7">
        <f>SUM(ParticipationSeptembre16212223242830[[#This Row],[E]:[N1]])</f>
        <v>0</v>
      </c>
      <c r="AN7" s="5"/>
    </row>
    <row r="8" spans="1:40" s="6" customFormat="1" ht="16.5" customHeight="1">
      <c r="A8" s="6">
        <v>1</v>
      </c>
      <c r="B8" s="134" t="s">
        <v>444</v>
      </c>
      <c r="C8" s="144" t="s">
        <v>445</v>
      </c>
      <c r="D8" s="16">
        <v>39074</v>
      </c>
      <c r="E8" s="16"/>
      <c r="F8" s="21"/>
      <c r="G8" s="21"/>
      <c r="H8" s="21"/>
      <c r="I8" s="21"/>
      <c r="J8" s="21"/>
      <c r="K8" s="21"/>
      <c r="L8" s="21"/>
      <c r="M8" s="21"/>
      <c r="N8" s="21"/>
      <c r="O8" s="21"/>
      <c r="P8" s="21"/>
      <c r="Q8" s="21"/>
      <c r="R8" s="21"/>
      <c r="S8" s="21"/>
      <c r="T8" s="21"/>
      <c r="U8" s="21"/>
      <c r="V8" s="21"/>
      <c r="W8" s="21"/>
      <c r="X8" s="21"/>
      <c r="Y8" s="21"/>
      <c r="Z8" s="21"/>
      <c r="AA8" s="21"/>
      <c r="AB8" s="21"/>
      <c r="AC8" s="21"/>
      <c r="AD8" s="21"/>
      <c r="AE8" s="21"/>
      <c r="AF8" s="22"/>
      <c r="AG8" s="20"/>
      <c r="AH8" s="20"/>
      <c r="AI8" s="7">
        <f>COUNTIF(ParticipationSeptembre16212223242830[[#This Row],[fecha de nacimiento]:[30]],Code1)</f>
        <v>0</v>
      </c>
      <c r="AJ8" s="38">
        <f>COUNTIF(ParticipationSeptembre16212223242830[[#This Row],[fecha de nacimiento]:[30]],Code2)</f>
        <v>0</v>
      </c>
      <c r="AK8" s="38">
        <f>COUNTIF(ParticipationSeptembre16212223242830[[#This Row],[fecha de nacimiento]:[30]],Code3)</f>
        <v>0</v>
      </c>
      <c r="AL8" s="38">
        <f>COUNTIF(ParticipationSeptembre16212223242830[[#This Row],[fecha de nacimiento]:[30]],Code4)</f>
        <v>0</v>
      </c>
      <c r="AM8" s="7">
        <f>SUM(ParticipationSeptembre16212223242830[[#This Row],[E]:[N1]])</f>
        <v>0</v>
      </c>
      <c r="AN8" s="5"/>
    </row>
    <row r="9" spans="1:40" s="9" customFormat="1" ht="16.5" customHeight="1">
      <c r="A9" s="6">
        <f>1+A8</f>
        <v>2</v>
      </c>
      <c r="B9" s="134" t="s">
        <v>312</v>
      </c>
      <c r="C9" s="144" t="s">
        <v>313</v>
      </c>
      <c r="D9" s="16">
        <v>39023</v>
      </c>
      <c r="E9" s="16"/>
      <c r="F9" s="21"/>
      <c r="G9" s="21"/>
      <c r="H9" s="21"/>
      <c r="I9" s="21"/>
      <c r="J9" s="21"/>
      <c r="K9" s="21"/>
      <c r="L9" s="21"/>
      <c r="M9" s="21"/>
      <c r="N9" s="21"/>
      <c r="O9" s="21"/>
      <c r="P9" s="21"/>
      <c r="Q9" s="21"/>
      <c r="R9" s="21"/>
      <c r="S9" s="21"/>
      <c r="T9" s="21"/>
      <c r="U9" s="21"/>
      <c r="V9" s="21"/>
      <c r="W9" s="21"/>
      <c r="X9" s="21"/>
      <c r="Y9" s="21"/>
      <c r="Z9" s="21"/>
      <c r="AA9" s="21"/>
      <c r="AB9" s="21"/>
      <c r="AC9" s="21"/>
      <c r="AD9" s="21"/>
      <c r="AE9" s="21"/>
      <c r="AF9" s="22"/>
      <c r="AG9" s="20"/>
      <c r="AH9" s="20"/>
      <c r="AI9" s="7">
        <f>COUNTIF(ParticipationSeptembre16212223242830[[#This Row],[fecha de nacimiento]:[30]],Code1)</f>
        <v>0</v>
      </c>
      <c r="AJ9" s="38">
        <f>COUNTIF(ParticipationSeptembre16212223242830[[#This Row],[fecha de nacimiento]:[30]],Code2)</f>
        <v>0</v>
      </c>
      <c r="AK9" s="38">
        <f>COUNTIF(ParticipationSeptembre16212223242830[[#This Row],[fecha de nacimiento]:[30]],Code3)</f>
        <v>0</v>
      </c>
      <c r="AL9" s="38">
        <f>COUNTIF(ParticipationSeptembre16212223242830[[#This Row],[fecha de nacimiento]:[30]],Code4)</f>
        <v>0</v>
      </c>
      <c r="AM9" s="7">
        <f>SUM(ParticipationSeptembre16212223242830[[#This Row],[E]:[N1]])</f>
        <v>0</v>
      </c>
      <c r="AN9" s="8"/>
    </row>
    <row r="10" spans="1:40" ht="16.5" customHeight="1">
      <c r="A10" s="6">
        <f t="shared" ref="A10:A15" si="0">1+A9</f>
        <v>3</v>
      </c>
      <c r="B10" s="134" t="s">
        <v>384</v>
      </c>
      <c r="C10" s="144" t="s">
        <v>385</v>
      </c>
      <c r="D10" s="16">
        <v>39014</v>
      </c>
      <c r="E10" s="16"/>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2"/>
      <c r="AG10" s="20"/>
      <c r="AH10" s="20"/>
      <c r="AI10" s="7">
        <f>COUNTIF(ParticipationSeptembre16212223242830[[#This Row],[fecha de nacimiento]:[30]],Code1)</f>
        <v>0</v>
      </c>
      <c r="AJ10" s="38">
        <f>COUNTIF(ParticipationSeptembre16212223242830[[#This Row],[fecha de nacimiento]:[30]],Code2)</f>
        <v>0</v>
      </c>
      <c r="AK10" s="38">
        <f>COUNTIF(ParticipationSeptembre16212223242830[[#This Row],[fecha de nacimiento]:[30]],Code3)</f>
        <v>0</v>
      </c>
      <c r="AL10" s="38">
        <f>COUNTIF(ParticipationSeptembre16212223242830[[#This Row],[fecha de nacimiento]:[30]],Code4)</f>
        <v>0</v>
      </c>
      <c r="AM10" s="7">
        <f>SUM(ParticipationSeptembre16212223242830[[#This Row],[E]:[N1]])</f>
        <v>0</v>
      </c>
      <c r="AN10" s="11"/>
    </row>
    <row r="11" spans="1:40" ht="16.5" customHeight="1">
      <c r="A11" s="6">
        <f t="shared" si="0"/>
        <v>4</v>
      </c>
      <c r="B11" s="134" t="s">
        <v>329</v>
      </c>
      <c r="C11" s="144" t="s">
        <v>330</v>
      </c>
      <c r="D11" s="16">
        <v>38960</v>
      </c>
      <c r="E11" s="16"/>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2"/>
      <c r="AG11" s="20"/>
      <c r="AH11" s="20"/>
      <c r="AI11" s="7">
        <f>COUNTIF(ParticipationSeptembre16212223242830[[#This Row],[fecha de nacimiento]:[30]],Code1)</f>
        <v>0</v>
      </c>
      <c r="AJ11" s="38">
        <f>COUNTIF(ParticipationSeptembre16212223242830[[#This Row],[fecha de nacimiento]:[30]],Code2)</f>
        <v>0</v>
      </c>
      <c r="AK11" s="38">
        <f>COUNTIF(ParticipationSeptembre16212223242830[[#This Row],[fecha de nacimiento]:[30]],Code3)</f>
        <v>0</v>
      </c>
      <c r="AL11" s="38">
        <f>COUNTIF(ParticipationSeptembre16212223242830[[#This Row],[fecha de nacimiento]:[30]],Code4)</f>
        <v>0</v>
      </c>
      <c r="AM11" s="7">
        <f>SUM(ParticipationSeptembre16212223242830[[#This Row],[E]:[N1]])</f>
        <v>0</v>
      </c>
      <c r="AN11" s="11"/>
    </row>
    <row r="12" spans="1:40" ht="16.5" customHeight="1">
      <c r="A12" s="6">
        <f t="shared" si="0"/>
        <v>5</v>
      </c>
      <c r="B12" s="134" t="s">
        <v>258</v>
      </c>
      <c r="C12" s="144" t="s">
        <v>259</v>
      </c>
      <c r="D12" s="16">
        <v>38888</v>
      </c>
      <c r="E12" s="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8"/>
      <c r="AI12" s="11">
        <f>COUNTIF(ParticipationSeptembre16212223242830[[#This Row],[fecha de nacimiento]:[30]],Code1)</f>
        <v>0</v>
      </c>
      <c r="AJ12" s="120">
        <f>COUNTIF(ParticipationSeptembre16212223242830[[#This Row],[fecha de nacimiento]:[30]],Code2)</f>
        <v>0</v>
      </c>
      <c r="AK12" s="120">
        <f>COUNTIF(ParticipationSeptembre16212223242830[[#This Row],[fecha de nacimiento]:[30]],Code3)</f>
        <v>0</v>
      </c>
      <c r="AL12" s="120">
        <f>COUNTIF(ParticipationSeptembre16212223242830[[#This Row],[fecha de nacimiento]:[30]],Code4)</f>
        <v>0</v>
      </c>
      <c r="AM12" s="12">
        <f>SUM(ParticipationSeptembre16212223242830[[#This Row],[E]:[N1]])</f>
        <v>0</v>
      </c>
    </row>
    <row r="13" spans="1:40" ht="16.5" customHeight="1">
      <c r="A13" s="6">
        <f t="shared" si="0"/>
        <v>6</v>
      </c>
      <c r="B13" s="135" t="s">
        <v>419</v>
      </c>
      <c r="C13" s="145" t="s">
        <v>420</v>
      </c>
      <c r="D13" s="16">
        <v>38844</v>
      </c>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9"/>
      <c r="AG13" s="7"/>
      <c r="AH13" s="7"/>
      <c r="AI13" s="7">
        <f>COUNTIF(ParticipationSeptembre16212223242830[[#This Row],[fecha de nacimiento]:[30]],Code1)</f>
        <v>0</v>
      </c>
      <c r="AJ13" s="7">
        <f>COUNTIF(ParticipationSeptembre16212223242830[[#This Row],[fecha de nacimiento]:[30]],Code2)</f>
        <v>0</v>
      </c>
      <c r="AK13" s="7">
        <f>COUNTIF(ParticipationSeptembre16212223242830[[#This Row],[fecha de nacimiento]:[30]],Code3)</f>
        <v>0</v>
      </c>
      <c r="AL13" s="7">
        <f>COUNTIF(ParticipationSeptembre16212223242830[[#This Row],[fecha de nacimiento]:[30]],Code4)</f>
        <v>0</v>
      </c>
      <c r="AM13" s="7">
        <f>SUM(ParticipationSeptembre16212223242830[[#This Row],[E]:[N1]])</f>
        <v>0</v>
      </c>
    </row>
    <row r="14" spans="1:40" ht="16.5" customHeight="1">
      <c r="A14" s="6">
        <f t="shared" si="0"/>
        <v>7</v>
      </c>
      <c r="B14" s="143" t="s">
        <v>306</v>
      </c>
      <c r="C14" s="137" t="s">
        <v>307</v>
      </c>
      <c r="D14" s="16">
        <v>38763</v>
      </c>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8"/>
      <c r="AI14" s="11">
        <f>COUNTIF(ParticipationSeptembre16212223242830[[#This Row],[fecha de nacimiento]:[30]],Code1)</f>
        <v>0</v>
      </c>
      <c r="AJ14" s="120">
        <f>COUNTIF(ParticipationSeptembre16212223242830[[#This Row],[fecha de nacimiento]:[30]],Code2)</f>
        <v>0</v>
      </c>
      <c r="AK14" s="120">
        <f>COUNTIF(ParticipationSeptembre16212223242830[[#This Row],[fecha de nacimiento]:[30]],Code3)</f>
        <v>0</v>
      </c>
      <c r="AL14" s="120">
        <f>COUNTIF(ParticipationSeptembre16212223242830[[#This Row],[fecha de nacimiento]:[30]],Code4)</f>
        <v>0</v>
      </c>
      <c r="AM14" s="12">
        <f>SUM(ParticipationSeptembre16212223242830[[#This Row],[E]:[N1]])</f>
        <v>0</v>
      </c>
    </row>
    <row r="15" spans="1:40" ht="16.5" customHeight="1">
      <c r="A15" s="6">
        <f t="shared" si="0"/>
        <v>8</v>
      </c>
      <c r="B15" s="146" t="s">
        <v>245</v>
      </c>
      <c r="C15" s="147" t="s">
        <v>246</v>
      </c>
      <c r="D15" s="16">
        <v>38750</v>
      </c>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8"/>
      <c r="AI15" s="11">
        <f>COUNTIF(ParticipationSeptembre16212223242830[[#This Row],[fecha de nacimiento]:[30]],Code1)</f>
        <v>0</v>
      </c>
      <c r="AJ15" s="120">
        <f>COUNTIF(ParticipationSeptembre16212223242830[[#This Row],[fecha de nacimiento]:[30]],Code2)</f>
        <v>0</v>
      </c>
      <c r="AK15" s="120">
        <f>COUNTIF(ParticipationSeptembre16212223242830[[#This Row],[fecha de nacimiento]:[30]],Code3)</f>
        <v>0</v>
      </c>
      <c r="AL15" s="120">
        <f>COUNTIF(ParticipationSeptembre16212223242830[[#This Row],[fecha de nacimiento]:[30]],Code4)</f>
        <v>0</v>
      </c>
      <c r="AM15" s="12">
        <f>SUM(ParticipationSeptembre16212223242830[[#This Row],[E]:[N1]])</f>
        <v>0</v>
      </c>
    </row>
    <row r="16" spans="1:40" ht="16.5" customHeight="1">
      <c r="A16" s="6">
        <f>1+A15</f>
        <v>9</v>
      </c>
      <c r="B16" s="146" t="s">
        <v>324</v>
      </c>
      <c r="C16" s="147" t="s">
        <v>325</v>
      </c>
      <c r="D16" s="16">
        <v>39130</v>
      </c>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8"/>
      <c r="AI16" s="11">
        <f>COUNTIF(ParticipationSeptembre16212223242830[[#This Row],[fecha de nacimiento]:[30]],Code1)</f>
        <v>0</v>
      </c>
      <c r="AJ16" s="120">
        <f>COUNTIF(ParticipationSeptembre16212223242830[[#This Row],[fecha de nacimiento]:[30]],Code2)</f>
        <v>0</v>
      </c>
      <c r="AK16" s="120">
        <f>COUNTIF(ParticipationSeptembre16212223242830[[#This Row],[fecha de nacimiento]:[30]],Code3)</f>
        <v>0</v>
      </c>
      <c r="AL16" s="120">
        <f>COUNTIF(ParticipationSeptembre16212223242830[[#This Row],[fecha de nacimiento]:[30]],Code4)</f>
        <v>0</v>
      </c>
      <c r="AM16" s="12">
        <f>SUM(ParticipationSeptembre16212223242830[[#This Row],[E]:[N1]])</f>
        <v>0</v>
      </c>
    </row>
    <row r="17" spans="2:39" ht="16.5" customHeight="1">
      <c r="B17" s="124"/>
      <c r="C17" s="125"/>
      <c r="D17" s="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8"/>
      <c r="AI17" s="11">
        <f>COUNTIF(ParticipationSeptembre16212223242830[[#This Row],[fecha de nacimiento]:[30]],Code1)</f>
        <v>0</v>
      </c>
      <c r="AJ17" s="120">
        <f>COUNTIF(ParticipationSeptembre16212223242830[[#This Row],[fecha de nacimiento]:[30]],Code2)</f>
        <v>0</v>
      </c>
      <c r="AK17" s="120">
        <f>COUNTIF(ParticipationSeptembre16212223242830[[#This Row],[fecha de nacimiento]:[30]],Code3)</f>
        <v>0</v>
      </c>
      <c r="AL17" s="120">
        <f>COUNTIF(ParticipationSeptembre16212223242830[[#This Row],[fecha de nacimiento]:[30]],Code4)</f>
        <v>0</v>
      </c>
      <c r="AM17" s="12">
        <f>SUM(ParticipationSeptembre16212223242830[[#This Row],[E]:[N1]])</f>
        <v>0</v>
      </c>
    </row>
    <row r="18" spans="2:39" ht="16.5" customHeight="1">
      <c r="B18" s="124"/>
      <c r="C18" s="125"/>
      <c r="D18" s="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8"/>
      <c r="AI18" s="11">
        <f>COUNTIF(ParticipationSeptembre16212223242830[[#This Row],[fecha de nacimiento]:[30]],Code1)</f>
        <v>0</v>
      </c>
      <c r="AJ18" s="120">
        <f>COUNTIF(ParticipationSeptembre16212223242830[[#This Row],[fecha de nacimiento]:[30]],Code2)</f>
        <v>0</v>
      </c>
      <c r="AK18" s="120">
        <f>COUNTIF(ParticipationSeptembre16212223242830[[#This Row],[fecha de nacimiento]:[30]],Code3)</f>
        <v>0</v>
      </c>
      <c r="AL18" s="120">
        <f>COUNTIF(ParticipationSeptembre16212223242830[[#This Row],[fecha de nacimiento]:[30]],Code4)</f>
        <v>0</v>
      </c>
      <c r="AM18" s="12">
        <f>SUM(ParticipationSeptembre16212223242830[[#This Row],[E]:[N1]])</f>
        <v>0</v>
      </c>
    </row>
    <row r="19" spans="2:39" ht="16.5" customHeight="1">
      <c r="B19" s="124"/>
      <c r="C19" s="125"/>
      <c r="D19" s="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8"/>
      <c r="AI19" s="11">
        <f>COUNTIF(ParticipationSeptembre16212223242830[[#This Row],[fecha de nacimiento]:[30]],Code1)</f>
        <v>0</v>
      </c>
      <c r="AJ19" s="120">
        <f>COUNTIF(ParticipationSeptembre16212223242830[[#This Row],[fecha de nacimiento]:[30]],Code2)</f>
        <v>0</v>
      </c>
      <c r="AK19" s="120">
        <f>COUNTIF(ParticipationSeptembre16212223242830[[#This Row],[fecha de nacimiento]:[30]],Code3)</f>
        <v>0</v>
      </c>
      <c r="AL19" s="120">
        <f>COUNTIF(ParticipationSeptembre16212223242830[[#This Row],[fecha de nacimiento]:[30]],Code4)</f>
        <v>0</v>
      </c>
      <c r="AM19" s="12">
        <f>SUM(ParticipationSeptembre16212223242830[[#This Row],[E]:[N1]])</f>
        <v>0</v>
      </c>
    </row>
    <row r="20" spans="2:39" ht="16.5" customHeight="1">
      <c r="B20" s="104"/>
      <c r="C20" s="105" t="s">
        <v>78</v>
      </c>
      <c r="D20" s="107">
        <f>COUNTIF(ParticipationSeptembre16212223242830[fecha de nacimiento],"N1")+COUNTIF(ParticipationSeptembre16212223242830[fecha de nacimiento],"E")</f>
        <v>0</v>
      </c>
      <c r="E20" s="107">
        <f>COUNTIF(ParticipationSeptembre16212223242830[29],"N1")+COUNTIF(ParticipationSeptembre16212223242830[29],"E")</f>
        <v>0</v>
      </c>
      <c r="F20" s="107">
        <f>COUNTIF(ParticipationSeptembre16212223242830[6],"N1")+COUNTIF(ParticipationSeptembre16212223242830[6],"E")</f>
        <v>0</v>
      </c>
      <c r="G20" s="107">
        <f>COUNTIF(ParticipationSeptembre16212223242830[13],"N1")+COUNTIF(ParticipationSeptembre16212223242830[13],"E")</f>
        <v>0</v>
      </c>
      <c r="H20" s="107">
        <f>COUNTIF(ParticipationSeptembre16212223242830[20],"N1")+COUNTIF(ParticipationSeptembre16212223242830[20],"E")</f>
        <v>0</v>
      </c>
      <c r="I20" s="107">
        <f>COUNTIF(ParticipationSeptembre16212223242830[27],"N1")+COUNTIF(ParticipationSeptembre16212223242830[27],"E")</f>
        <v>0</v>
      </c>
      <c r="J20" s="107">
        <f>COUNTIF(ParticipationSeptembre16212223242830[3],"N1")+COUNTIF(ParticipationSeptembre16212223242830[3],"E")</f>
        <v>0</v>
      </c>
      <c r="K20" s="107">
        <f>COUNTIF(ParticipationSeptembre16212223242830[10],"N1")+COUNTIF(ParticipationSeptembre16212223242830[10],"E")</f>
        <v>0</v>
      </c>
      <c r="L20" s="107">
        <f>COUNTIF(ParticipationSeptembre16212223242830[17],"N1")+COUNTIF(ParticipationSeptembre16212223242830[17],"E")</f>
        <v>0</v>
      </c>
      <c r="M20" s="107">
        <f>COUNTIF(ParticipationSeptembre16212223242830[24],"N1")+COUNTIF(ParticipationSeptembre16212223242830[24],"E")</f>
        <v>0</v>
      </c>
      <c r="N20" s="107">
        <f>COUNTIF(ParticipationSeptembre16212223242830[14],"N1")+COUNTIF(ParticipationSeptembre16212223242830[14],"E")</f>
        <v>0</v>
      </c>
      <c r="O20" s="107">
        <f>COUNTIF(ParticipationSeptembre16212223242830[8],"N1")+COUNTIF(ParticipationSeptembre16212223242830[8],"E")</f>
        <v>0</v>
      </c>
      <c r="P20" s="107">
        <f>COUNTIF(ParticipationSeptembre16212223242830[15],"N1")+COUNTIF(ParticipationSeptembre16212223242830[15],"E")</f>
        <v>0</v>
      </c>
      <c r="Q20" s="107">
        <f>COUNTIF(ParticipationSeptembre16212223242830[12],"N1")+COUNTIF(ParticipationSeptembre16212223242830[12],"E")</f>
        <v>0</v>
      </c>
      <c r="R20" s="107">
        <f>COUNTIF(ParticipationSeptembre16212223242830[19],"N1")+COUNTIF(ParticipationSeptembre16212223242830[19],"E")</f>
        <v>0</v>
      </c>
      <c r="S20" s="107">
        <f>COUNTIF(ParticipationSeptembre16212223242830[26],"N1")+COUNTIF(ParticipationSeptembre16212223242830[26],"E")</f>
        <v>0</v>
      </c>
      <c r="T20" s="107">
        <f>COUNTIF(ParticipationSeptembre16212223242830[2],"N1")+COUNTIF(ParticipationSeptembre16212223242830[2],"E")</f>
        <v>0</v>
      </c>
      <c r="U20" s="107">
        <f>COUNTIF(ParticipationSeptembre16212223242830[9],"N1")+COUNTIF(ParticipationSeptembre16212223242830[9],"E")</f>
        <v>0</v>
      </c>
      <c r="V20" s="107">
        <f>COUNTIF(ParticipationSeptembre16212223242830[16],"N1")+COUNTIF(ParticipationSeptembre16212223242830[16],"E")</f>
        <v>0</v>
      </c>
      <c r="W20" s="107">
        <f>COUNTIF(ParticipationSeptembre16212223242830[23],"N1")+COUNTIF(ParticipationSeptembre16212223242830[23],"E")</f>
        <v>0</v>
      </c>
      <c r="X20" s="107">
        <f>COUNTIF(ParticipationSeptembre16212223242830[*8],"N1")+COUNTIF(ParticipationSeptembre16212223242830[*8],"E")</f>
        <v>0</v>
      </c>
      <c r="Y20" s="107">
        <f>COUNTIF(ParticipationSeptembre16212223242830[*15],"N1")+COUNTIF(ParticipationSeptembre16212223242830[*15],"E")</f>
        <v>0</v>
      </c>
      <c r="Z20" s="107">
        <f>COUNTIF(ParticipationSeptembre16212223242830[22],"N1")+COUNTIF(ParticipationSeptembre16212223242830[22],"E")</f>
        <v>0</v>
      </c>
      <c r="AA20" s="107">
        <f>COUNTIF(ParticipationSeptembre16212223242830[*29],"N1")+COUNTIF(ParticipationSeptembre16212223242830[*29],"E")</f>
        <v>0</v>
      </c>
      <c r="AB20" s="107">
        <f>COUNTIF(ParticipationSeptembre16212223242830[*19],"N1")+COUNTIF(ParticipationSeptembre16212223242830[*19],"E")</f>
        <v>0</v>
      </c>
      <c r="AC20" s="107">
        <f>COUNTIF(ParticipationSeptembre16212223242830[*26],"N1")+COUNTIF(ParticipationSeptembre16212223242830[*26],"E")</f>
        <v>0</v>
      </c>
      <c r="AD20" s="107">
        <f>COUNTIF(ParticipationSeptembre16212223242830[*3],"N1")+COUNTIF(ParticipationSeptembre16212223242830[*3],"E")</f>
        <v>0</v>
      </c>
      <c r="AE20" s="107">
        <f>COUNTIF(ParticipationSeptembre16212223242830[*10],"N1")+COUNTIF(ParticipationSeptembre16212223242830[*10],"E")</f>
        <v>0</v>
      </c>
      <c r="AF20" s="107">
        <f>COUNTIF(ParticipationSeptembre16212223242830[*17],"N1")+COUNTIF(ParticipationSeptembre16212223242830[*17],"E")</f>
        <v>0</v>
      </c>
      <c r="AG20" s="107">
        <f>COUNTIF(ParticipationSeptembre16212223242830[*24],"N1")+COUNTIF(ParticipationSeptembre16212223242830[*24],"E")</f>
        <v>0</v>
      </c>
      <c r="AH20" s="107">
        <f>COUNTIF(ParticipationSeptembre16212223242830[30],"N1")+COUNTIF(ParticipationSeptembre16212223242830[30],"E")</f>
        <v>0</v>
      </c>
      <c r="AI20" s="107">
        <f>SUBTOTAL(109,ParticipationSeptembre16212223242830[R])</f>
        <v>0</v>
      </c>
      <c r="AJ20" s="107">
        <f>SUBTOTAL(109,ParticipationSeptembre16212223242830[E])</f>
        <v>0</v>
      </c>
      <c r="AK20" s="107">
        <f>SUBTOTAL(109,ParticipationSeptembre16212223242830[N1])</f>
        <v>0</v>
      </c>
      <c r="AL20" s="107">
        <f>SUBTOTAL(109,ParticipationSeptembre16212223242830[P])</f>
        <v>0</v>
      </c>
      <c r="AM20" s="106"/>
    </row>
    <row r="21" spans="2:39" ht="16.5" customHeight="1"/>
    <row r="22" spans="2:39" ht="16.5" customHeight="1"/>
    <row r="23" spans="2:39" ht="16.5" customHeight="1"/>
    <row r="24" spans="2:39" ht="16.5" customHeight="1"/>
    <row r="25" spans="2:39" ht="16.5" customHeight="1"/>
    <row r="26" spans="2:39" ht="16.5" customHeight="1"/>
    <row r="27" spans="2:39" ht="16.5" customHeight="1"/>
    <row r="28" spans="2:39" ht="16.5" customHeight="1"/>
    <row r="29" spans="2:39" ht="16.5" customHeight="1"/>
    <row r="30" spans="2:39" ht="16.5" customHeight="1"/>
    <row r="31" spans="2:39" ht="16.5" customHeight="1"/>
    <row r="32" spans="2:39"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sheetData>
  <sheetProtection formatCells="0" formatColumns="0" formatRows="0" insertColumns="0" insertRows="0" insertHyperlinks="0" deleteColumns="0" deleteRows="0" sort="0" autoFilter="0" pivotTables="0"/>
  <mergeCells count="1">
    <mergeCell ref="AI5:AM5"/>
  </mergeCells>
  <conditionalFormatting sqref="AM7:AM19">
    <cfRule type="dataBar" priority="11">
      <dataBar>
        <cfvo type="min"/>
        <cfvo type="num" val="31"/>
        <color theme="4"/>
      </dataBar>
      <extLst>
        <ext xmlns:x14="http://schemas.microsoft.com/office/spreadsheetml/2009/9/main" uri="{B025F937-C7B1-47D3-B67F-A62EFF666E3E}">
          <x14:id>{3C71127E-01BA-4A1B-AAD6-BF6384E46BC6}</x14:id>
        </ext>
      </extLst>
    </cfRule>
  </conditionalFormatting>
  <conditionalFormatting sqref="AG7:AI19">
    <cfRule type="expression" dxfId="143" priority="12" stopIfTrue="1">
      <formula>AG7=Code2</formula>
    </cfRule>
  </conditionalFormatting>
  <conditionalFormatting sqref="AG7:AH19">
    <cfRule type="expression" dxfId="142" priority="13" stopIfTrue="1">
      <formula>AG7=Code5</formula>
    </cfRule>
    <cfRule type="expression" dxfId="141" priority="14" stopIfTrue="1">
      <formula>AG7=Code4</formula>
    </cfRule>
    <cfRule type="expression" dxfId="140" priority="15" stopIfTrue="1">
      <formula>AG7=Code3</formula>
    </cfRule>
    <cfRule type="expression" dxfId="139" priority="16" stopIfTrue="1">
      <formula>AG7=Code1</formula>
    </cfRule>
  </conditionalFormatting>
  <conditionalFormatting sqref="D17:D19 E7:AF7 D8:AF15">
    <cfRule type="expression" dxfId="138" priority="6" stopIfTrue="1">
      <formula>D7=Code2</formula>
    </cfRule>
  </conditionalFormatting>
  <conditionalFormatting sqref="D17:D19 E7:AF7 D8:AF15">
    <cfRule type="expression" dxfId="137" priority="7" stopIfTrue="1">
      <formula>D7=Code5</formula>
    </cfRule>
    <cfRule type="expression" dxfId="136" priority="8" stopIfTrue="1">
      <formula>D7=Code4</formula>
    </cfRule>
    <cfRule type="expression" dxfId="135" priority="9" stopIfTrue="1">
      <formula>D7=Code3</formula>
    </cfRule>
    <cfRule type="expression" dxfId="134" priority="10" stopIfTrue="1">
      <formula>D7=Code1</formula>
    </cfRule>
  </conditionalFormatting>
  <conditionalFormatting sqref="D16">
    <cfRule type="expression" dxfId="133" priority="1" stopIfTrue="1">
      <formula>D16=Code2</formula>
    </cfRule>
  </conditionalFormatting>
  <conditionalFormatting sqref="D16">
    <cfRule type="expression" dxfId="132" priority="2" stopIfTrue="1">
      <formula>D16=Code5</formula>
    </cfRule>
    <cfRule type="expression" dxfId="131" priority="3" stopIfTrue="1">
      <formula>D16=Code4</formula>
    </cfRule>
    <cfRule type="expression" dxfId="130" priority="4" stopIfTrue="1">
      <formula>D16=Code3</formula>
    </cfRule>
    <cfRule type="expression" dxfId="129" priority="5" stopIfTrue="1">
      <formula>D16=Code1</formula>
    </cfRule>
  </conditionalFormatting>
  <dataValidations count="1">
    <dataValidation type="list" errorStyle="warning" allowBlank="1" showInputMessage="1" showErrorMessage="1" errorTitle="Whoops!" error="The Student ID you entered isn't on the Student List sheet. You can click Yes to use what you entered but that Student ID won't be available on the Student Attendance Report sheet." sqref="B8:B19">
      <formula1>IDÉtudiant</formula1>
    </dataValidation>
  </dataValidations>
  <printOptions horizontalCentered="1"/>
  <pageMargins left="0.51181102362204722" right="0.51181102362204722" top="0.74803149606299213" bottom="0.74803149606299213" header="0.31496062992125984" footer="0.31496062992125984"/>
  <pageSetup paperSize="5" scale="70" fitToHeight="0" orientation="landscape" r:id="rId1"/>
  <headerFooter>
    <oddHeader>&amp;CMisión Santa Teresa de Avila
Lista de presencia de los grupos de catequesis
2019-2020</oddHeader>
  </headerFooter>
  <ignoredErrors>
    <ignoredError sqref="B8:B15 B16:D16" listDataValidation="1"/>
  </ignoredError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3C71127E-01BA-4A1B-AAD6-BF6384E46BC6}">
            <x14:dataBar minLength="0" maxLength="100" border="1" negativeBarBorderColorSameAsPositive="0">
              <x14:cfvo type="autoMin"/>
              <x14:cfvo type="num">
                <xm:f>31</xm:f>
              </x14:cfvo>
              <x14:borderColor theme="4"/>
              <x14:negativeFillColor rgb="FFFF0000"/>
              <x14:negativeBorderColor rgb="FFFF0000"/>
              <x14:axisColor rgb="FF000000"/>
            </x14:dataBar>
          </x14:cfRule>
          <xm:sqref>AM7:AM19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N347"/>
  <sheetViews>
    <sheetView showGridLines="0" zoomScaleNormal="100" workbookViewId="0">
      <pane xSplit="3" ySplit="6" topLeftCell="D7" activePane="bottomRight" state="frozen"/>
      <selection pane="topRight"/>
      <selection pane="bottomLeft"/>
      <selection pane="bottomRight" activeCell="AL27" sqref="AL27"/>
    </sheetView>
  </sheetViews>
  <sheetFormatPr baseColWidth="10" defaultColWidth="9.140625" defaultRowHeight="15" customHeight="1"/>
  <cols>
    <col min="1" max="1" width="2.7109375" style="12" customWidth="1"/>
    <col min="2" max="2" width="17.5703125" style="12" customWidth="1"/>
    <col min="3" max="3" width="22.5703125" style="13" customWidth="1"/>
    <col min="4" max="4" width="11.5703125" style="11" customWidth="1"/>
    <col min="5" max="34" width="5" style="11" customWidth="1"/>
    <col min="35" max="35" width="4.7109375" style="10" customWidth="1"/>
    <col min="36" max="36" width="4.7109375" style="11" customWidth="1"/>
    <col min="37" max="38" width="4.7109375" style="12" customWidth="1"/>
    <col min="39" max="39" width="9.5703125" style="12" customWidth="1"/>
    <col min="40" max="16384" width="9.140625" style="12"/>
  </cols>
  <sheetData>
    <row r="1" spans="1:40" s="1" customFormat="1" ht="42" customHeight="1">
      <c r="A1" s="102" t="s">
        <v>477</v>
      </c>
      <c r="B1" s="28"/>
      <c r="C1" s="28"/>
      <c r="D1" s="28"/>
      <c r="E1" s="178"/>
      <c r="F1" s="178"/>
      <c r="G1" s="178"/>
      <c r="H1" s="178"/>
      <c r="I1" s="178" t="s">
        <v>480</v>
      </c>
      <c r="J1" s="178"/>
      <c r="K1" s="178"/>
      <c r="L1" s="178"/>
      <c r="M1" s="178"/>
      <c r="N1" s="178"/>
      <c r="O1" s="178"/>
      <c r="P1" s="178"/>
      <c r="Q1" s="178"/>
      <c r="R1" s="178"/>
      <c r="S1" s="178"/>
      <c r="T1" s="29"/>
      <c r="U1" s="29"/>
      <c r="V1" s="29"/>
      <c r="W1" s="29"/>
      <c r="X1" s="29"/>
      <c r="Y1" s="29"/>
      <c r="Z1" s="29"/>
      <c r="AA1" s="29"/>
      <c r="AB1" s="29"/>
      <c r="AC1" s="28"/>
      <c r="AD1" s="28"/>
      <c r="AE1" s="28"/>
      <c r="AF1" s="28"/>
      <c r="AG1" s="30"/>
      <c r="AH1" s="28"/>
      <c r="AI1" s="28"/>
      <c r="AJ1" s="31"/>
      <c r="AK1" s="28"/>
      <c r="AL1" s="46" t="s">
        <v>117</v>
      </c>
      <c r="AM1" s="47">
        <v>2019</v>
      </c>
    </row>
    <row r="2" spans="1:40" customFormat="1" ht="13.5"/>
    <row r="3" spans="1:40" s="24" customFormat="1" ht="12.75" customHeight="1">
      <c r="B3" s="28" t="s">
        <v>116</v>
      </c>
      <c r="C3" s="34"/>
      <c r="D3" s="40" t="str">
        <f>Code1</f>
        <v>R</v>
      </c>
      <c r="E3" s="56" t="s">
        <v>118</v>
      </c>
      <c r="F3" s="48"/>
      <c r="H3" s="41" t="str">
        <f>Code2</f>
        <v>E</v>
      </c>
      <c r="I3" s="45" t="s">
        <v>119</v>
      </c>
      <c r="L3" s="42" t="str">
        <f>Code3</f>
        <v>N1</v>
      </c>
      <c r="M3" s="45" t="s">
        <v>123</v>
      </c>
      <c r="P3" s="43" t="str">
        <f>Code4</f>
        <v>P</v>
      </c>
      <c r="Q3" s="45" t="s">
        <v>121</v>
      </c>
      <c r="T3" s="44" t="str">
        <f>Code5</f>
        <v>N</v>
      </c>
      <c r="U3" s="45"/>
      <c r="W3"/>
      <c r="X3"/>
      <c r="Y3"/>
      <c r="AD3" s="23"/>
      <c r="AE3" s="23"/>
      <c r="AH3" s="25"/>
      <c r="AI3" s="26"/>
      <c r="AK3" s="27"/>
    </row>
    <row r="4" spans="1:40" customFormat="1" ht="16.5" customHeight="1"/>
    <row r="5" spans="1:40" s="2" customFormat="1" ht="18" customHeight="1">
      <c r="B5" s="176">
        <v>42277</v>
      </c>
      <c r="C5" s="49"/>
      <c r="D5" s="32"/>
      <c r="E5" s="110" t="s">
        <v>95</v>
      </c>
      <c r="F5" s="111" t="s">
        <v>96</v>
      </c>
      <c r="G5" s="112" t="s">
        <v>96</v>
      </c>
      <c r="H5" s="112" t="s">
        <v>96</v>
      </c>
      <c r="I5" s="112" t="s">
        <v>96</v>
      </c>
      <c r="J5" s="112" t="s">
        <v>97</v>
      </c>
      <c r="K5" s="112" t="s">
        <v>97</v>
      </c>
      <c r="L5" s="112" t="s">
        <v>97</v>
      </c>
      <c r="M5" s="112" t="s">
        <v>97</v>
      </c>
      <c r="N5" s="112" t="s">
        <v>98</v>
      </c>
      <c r="O5" s="112" t="s">
        <v>98</v>
      </c>
      <c r="P5" s="112" t="s">
        <v>98</v>
      </c>
      <c r="Q5" s="112" t="s">
        <v>99</v>
      </c>
      <c r="R5" s="112" t="s">
        <v>99</v>
      </c>
      <c r="S5" s="112" t="s">
        <v>99</v>
      </c>
      <c r="T5" s="112" t="s">
        <v>100</v>
      </c>
      <c r="U5" s="112" t="s">
        <v>100</v>
      </c>
      <c r="V5" s="112" t="s">
        <v>100</v>
      </c>
      <c r="W5" s="112" t="s">
        <v>100</v>
      </c>
      <c r="X5" s="112" t="s">
        <v>101</v>
      </c>
      <c r="Y5" s="112" t="s">
        <v>101</v>
      </c>
      <c r="Z5" s="112" t="s">
        <v>101</v>
      </c>
      <c r="AA5" s="112" t="s">
        <v>101</v>
      </c>
      <c r="AB5" s="112" t="s">
        <v>102</v>
      </c>
      <c r="AC5" s="112" t="s">
        <v>103</v>
      </c>
      <c r="AD5" s="112" t="s">
        <v>104</v>
      </c>
      <c r="AE5" s="112" t="s">
        <v>104</v>
      </c>
      <c r="AF5" s="112" t="s">
        <v>104</v>
      </c>
      <c r="AG5" s="112" t="s">
        <v>104</v>
      </c>
      <c r="AH5" s="112" t="s">
        <v>104</v>
      </c>
      <c r="AI5" s="190" t="s">
        <v>28</v>
      </c>
      <c r="AJ5" s="191"/>
      <c r="AK5" s="191"/>
      <c r="AL5" s="191"/>
      <c r="AM5" s="192"/>
    </row>
    <row r="6" spans="1:40" s="6" customFormat="1" ht="25.5" customHeight="1">
      <c r="B6" t="s">
        <v>451</v>
      </c>
      <c r="C6" t="s">
        <v>452</v>
      </c>
      <c r="D6" s="157" t="s">
        <v>552</v>
      </c>
      <c r="E6" s="3" t="s">
        <v>19</v>
      </c>
      <c r="F6" s="3" t="s">
        <v>2</v>
      </c>
      <c r="G6" s="3" t="s">
        <v>7</v>
      </c>
      <c r="H6" s="3" t="s">
        <v>13</v>
      </c>
      <c r="I6" s="3" t="s">
        <v>18</v>
      </c>
      <c r="J6" s="3" t="s">
        <v>1</v>
      </c>
      <c r="K6" s="3" t="s">
        <v>5</v>
      </c>
      <c r="L6" s="3" t="s">
        <v>11</v>
      </c>
      <c r="M6" s="3" t="s">
        <v>16</v>
      </c>
      <c r="N6" s="3" t="s">
        <v>8</v>
      </c>
      <c r="O6" s="3" t="s">
        <v>3</v>
      </c>
      <c r="P6" s="3" t="s">
        <v>9</v>
      </c>
      <c r="Q6" s="3" t="s">
        <v>6</v>
      </c>
      <c r="R6" s="3" t="s">
        <v>12</v>
      </c>
      <c r="S6" s="3" t="s">
        <v>17</v>
      </c>
      <c r="T6" s="3" t="s">
        <v>0</v>
      </c>
      <c r="U6" s="3" t="s">
        <v>4</v>
      </c>
      <c r="V6" s="3" t="s">
        <v>10</v>
      </c>
      <c r="W6" s="3" t="s">
        <v>15</v>
      </c>
      <c r="X6" s="3" t="s">
        <v>105</v>
      </c>
      <c r="Y6" s="3" t="s">
        <v>106</v>
      </c>
      <c r="Z6" s="3" t="s">
        <v>14</v>
      </c>
      <c r="AA6" s="3" t="s">
        <v>107</v>
      </c>
      <c r="AB6" s="3" t="s">
        <v>108</v>
      </c>
      <c r="AC6" s="3" t="s">
        <v>109</v>
      </c>
      <c r="AD6" s="3" t="s">
        <v>110</v>
      </c>
      <c r="AE6" s="3" t="s">
        <v>111</v>
      </c>
      <c r="AF6" s="3" t="s">
        <v>112</v>
      </c>
      <c r="AG6" s="3" t="s">
        <v>113</v>
      </c>
      <c r="AH6" s="3" t="s">
        <v>20</v>
      </c>
      <c r="AI6" s="81" t="s">
        <v>25</v>
      </c>
      <c r="AJ6" s="57" t="s">
        <v>26</v>
      </c>
      <c r="AK6" s="58" t="s">
        <v>81</v>
      </c>
      <c r="AL6" s="59" t="s">
        <v>21</v>
      </c>
      <c r="AM6" s="156" t="s">
        <v>122</v>
      </c>
      <c r="AN6" s="5"/>
    </row>
    <row r="7" spans="1:40" s="6" customFormat="1" ht="14.25" customHeight="1">
      <c r="B7" s="114"/>
      <c r="C7" s="129"/>
      <c r="D7" s="12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30"/>
      <c r="AG7" s="3"/>
      <c r="AH7" s="3"/>
      <c r="AI7" s="81">
        <f>COUNTIF(ParticipationSeptembre162122232428303132[[#This Row],[fecha de nacimiento]:[30]],Code1)</f>
        <v>0</v>
      </c>
      <c r="AJ7" s="131">
        <f>COUNTIF(ParticipationSeptembre162122232428303132[[#This Row],[fecha de nacimiento]:[30]],Code2)</f>
        <v>0</v>
      </c>
      <c r="AK7" s="132">
        <f>COUNTIF(ParticipationSeptembre162122232428303132[[#This Row],[fecha de nacimiento]:[30]],Code3)</f>
        <v>0</v>
      </c>
      <c r="AL7" s="133">
        <f>COUNTIF(ParticipationSeptembre162122232428303132[[#This Row],[fecha de nacimiento]:[30]],Code4)</f>
        <v>0</v>
      </c>
      <c r="AM7" s="39">
        <f>SUM(ParticipationSeptembre162122232428303132[[#This Row],[E]:[N1]])</f>
        <v>0</v>
      </c>
      <c r="AN7" s="5"/>
    </row>
    <row r="8" spans="1:40" s="6" customFormat="1" ht="16.5" customHeight="1">
      <c r="A8" s="6">
        <v>1</v>
      </c>
      <c r="B8" s="148" t="s">
        <v>317</v>
      </c>
      <c r="C8" s="149" t="s">
        <v>318</v>
      </c>
      <c r="D8" s="128">
        <v>38655</v>
      </c>
      <c r="E8" s="16"/>
      <c r="F8" s="21"/>
      <c r="G8" s="21"/>
      <c r="H8" s="21"/>
      <c r="I8" s="21"/>
      <c r="J8" s="21"/>
      <c r="K8" s="21"/>
      <c r="L8" s="21"/>
      <c r="M8" s="21"/>
      <c r="N8" s="21"/>
      <c r="O8" s="21"/>
      <c r="P8" s="21"/>
      <c r="Q8" s="21"/>
      <c r="R8" s="21"/>
      <c r="S8" s="21"/>
      <c r="T8" s="21"/>
      <c r="U8" s="21"/>
      <c r="V8" s="21"/>
      <c r="W8" s="21"/>
      <c r="X8" s="21"/>
      <c r="Y8" s="21"/>
      <c r="Z8" s="21"/>
      <c r="AA8" s="21"/>
      <c r="AB8" s="21"/>
      <c r="AC8" s="21"/>
      <c r="AD8" s="21"/>
      <c r="AE8" s="21"/>
      <c r="AF8" s="22"/>
      <c r="AG8" s="20"/>
      <c r="AH8" s="20"/>
      <c r="AI8" s="7">
        <f>COUNTIF(ParticipationSeptembre162122232428303132[[#This Row],[fecha de nacimiento]:[30]],Code1)</f>
        <v>0</v>
      </c>
      <c r="AJ8" s="38">
        <f>COUNTIF(ParticipationSeptembre162122232428303132[[#This Row],[fecha de nacimiento]:[30]],Code2)</f>
        <v>0</v>
      </c>
      <c r="AK8" s="38">
        <f>COUNTIF(ParticipationSeptembre162122232428303132[[#This Row],[fecha de nacimiento]:[30]],Code3)</f>
        <v>0</v>
      </c>
      <c r="AL8" s="38">
        <f>COUNTIF(ParticipationSeptembre162122232428303132[[#This Row],[fecha de nacimiento]:[30]],Code4)</f>
        <v>0</v>
      </c>
      <c r="AM8" s="7">
        <f>SUM(ParticipationSeptembre162122232428303132[[#This Row],[E]:[N1]])</f>
        <v>0</v>
      </c>
      <c r="AN8" s="5"/>
    </row>
    <row r="9" spans="1:40" s="6" customFormat="1" ht="16.5" customHeight="1">
      <c r="A9" s="6">
        <f>1+A8</f>
        <v>2</v>
      </c>
      <c r="B9" s="134" t="s">
        <v>252</v>
      </c>
      <c r="C9" s="144" t="s">
        <v>253</v>
      </c>
      <c r="D9" s="16">
        <v>38602</v>
      </c>
      <c r="E9" s="16"/>
      <c r="F9" s="21"/>
      <c r="G9" s="21"/>
      <c r="H9" s="21"/>
      <c r="I9" s="21"/>
      <c r="J9" s="21"/>
      <c r="K9" s="21"/>
      <c r="L9" s="21"/>
      <c r="M9" s="21"/>
      <c r="N9" s="21"/>
      <c r="O9" s="21"/>
      <c r="P9" s="21"/>
      <c r="Q9" s="21"/>
      <c r="R9" s="21"/>
      <c r="S9" s="21"/>
      <c r="T9" s="21"/>
      <c r="U9" s="21"/>
      <c r="V9" s="21"/>
      <c r="W9" s="21"/>
      <c r="X9" s="21"/>
      <c r="Y9" s="21"/>
      <c r="Z9" s="21"/>
      <c r="AA9" s="21"/>
      <c r="AB9" s="21"/>
      <c r="AC9" s="21"/>
      <c r="AD9" s="21"/>
      <c r="AE9" s="21"/>
      <c r="AF9" s="22"/>
      <c r="AG9" s="20"/>
      <c r="AH9" s="20"/>
      <c r="AI9" s="7">
        <f>COUNTIF(ParticipationSeptembre162122232428303132[[#This Row],[fecha de nacimiento]:[30]],Code1)</f>
        <v>0</v>
      </c>
      <c r="AJ9" s="38">
        <f>COUNTIF(ParticipationSeptembre162122232428303132[[#This Row],[fecha de nacimiento]:[30]],Code2)</f>
        <v>0</v>
      </c>
      <c r="AK9" s="38">
        <f>COUNTIF(ParticipationSeptembre162122232428303132[[#This Row],[fecha de nacimiento]:[30]],Code3)</f>
        <v>0</v>
      </c>
      <c r="AL9" s="38">
        <f>COUNTIF(ParticipationSeptembre162122232428303132[[#This Row],[fecha de nacimiento]:[30]],Code4)</f>
        <v>0</v>
      </c>
      <c r="AM9" s="7">
        <f>SUM(ParticipationSeptembre162122232428303132[[#This Row],[E]:[N1]])</f>
        <v>0</v>
      </c>
      <c r="AN9" s="5"/>
    </row>
    <row r="10" spans="1:40" s="9" customFormat="1" ht="16.5" customHeight="1">
      <c r="A10" s="6">
        <f t="shared" ref="A10:A15" si="0">1+A9</f>
        <v>3</v>
      </c>
      <c r="B10" s="134" t="s">
        <v>276</v>
      </c>
      <c r="C10" s="144" t="s">
        <v>277</v>
      </c>
      <c r="D10" s="16">
        <v>38594</v>
      </c>
      <c r="E10" s="16"/>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2"/>
      <c r="AG10" s="20"/>
      <c r="AH10" s="20"/>
      <c r="AI10" s="7">
        <f>COUNTIF(ParticipationSeptembre162122232428303132[[#This Row],[fecha de nacimiento]:[30]],Code1)</f>
        <v>0</v>
      </c>
      <c r="AJ10" s="38">
        <f>COUNTIF(ParticipationSeptembre162122232428303132[[#This Row],[fecha de nacimiento]:[30]],Code2)</f>
        <v>0</v>
      </c>
      <c r="AK10" s="38">
        <f>COUNTIF(ParticipationSeptembre162122232428303132[[#This Row],[fecha de nacimiento]:[30]],Code3)</f>
        <v>0</v>
      </c>
      <c r="AL10" s="38">
        <f>COUNTIF(ParticipationSeptembre162122232428303132[[#This Row],[fecha de nacimiento]:[30]],Code4)</f>
        <v>0</v>
      </c>
      <c r="AM10" s="7">
        <f>SUM(ParticipationSeptembre162122232428303132[[#This Row],[E]:[N1]])</f>
        <v>0</v>
      </c>
      <c r="AN10" s="8"/>
    </row>
    <row r="11" spans="1:40" ht="16.5" customHeight="1">
      <c r="A11" s="6">
        <f t="shared" si="0"/>
        <v>4</v>
      </c>
      <c r="B11" s="134" t="s">
        <v>303</v>
      </c>
      <c r="C11" s="144" t="s">
        <v>304</v>
      </c>
      <c r="D11" s="16">
        <v>38589</v>
      </c>
      <c r="E11" s="16"/>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2"/>
      <c r="AG11" s="20"/>
      <c r="AH11" s="20"/>
      <c r="AI11" s="7">
        <f>COUNTIF(ParticipationSeptembre162122232428303132[[#This Row],[fecha de nacimiento]:[30]],Code1)</f>
        <v>0</v>
      </c>
      <c r="AJ11" s="38">
        <f>COUNTIF(ParticipationSeptembre162122232428303132[[#This Row],[fecha de nacimiento]:[30]],Code2)</f>
        <v>0</v>
      </c>
      <c r="AK11" s="38">
        <f>COUNTIF(ParticipationSeptembre162122232428303132[[#This Row],[fecha de nacimiento]:[30]],Code3)</f>
        <v>0</v>
      </c>
      <c r="AL11" s="38">
        <f>COUNTIF(ParticipationSeptembre162122232428303132[[#This Row],[fecha de nacimiento]:[30]],Code4)</f>
        <v>0</v>
      </c>
      <c r="AM11" s="7">
        <f>SUM(ParticipationSeptembre162122232428303132[[#This Row],[E]:[N1]])</f>
        <v>0</v>
      </c>
      <c r="AN11" s="11"/>
    </row>
    <row r="12" spans="1:40" ht="16.5" customHeight="1">
      <c r="A12" s="6">
        <f t="shared" si="0"/>
        <v>5</v>
      </c>
      <c r="B12" s="134" t="s">
        <v>360</v>
      </c>
      <c r="C12" s="144" t="s">
        <v>361</v>
      </c>
      <c r="D12" s="16">
        <v>38570</v>
      </c>
      <c r="E12" s="16"/>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2"/>
      <c r="AG12" s="20"/>
      <c r="AH12" s="20"/>
      <c r="AI12" s="7">
        <f>COUNTIF(ParticipationSeptembre162122232428303132[[#This Row],[fecha de nacimiento]:[30]],Code1)</f>
        <v>0</v>
      </c>
      <c r="AJ12" s="38">
        <f>COUNTIF(ParticipationSeptembre162122232428303132[[#This Row],[fecha de nacimiento]:[30]],Code2)</f>
        <v>0</v>
      </c>
      <c r="AK12" s="38">
        <f>COUNTIF(ParticipationSeptembre162122232428303132[[#This Row],[fecha de nacimiento]:[30]],Code3)</f>
        <v>0</v>
      </c>
      <c r="AL12" s="38">
        <f>COUNTIF(ParticipationSeptembre162122232428303132[[#This Row],[fecha de nacimiento]:[30]],Code4)</f>
        <v>0</v>
      </c>
      <c r="AM12" s="7">
        <f>SUM(ParticipationSeptembre162122232428303132[[#This Row],[E]:[N1]])</f>
        <v>0</v>
      </c>
      <c r="AN12" s="11"/>
    </row>
    <row r="13" spans="1:40" ht="16.5" customHeight="1">
      <c r="A13" s="6">
        <f t="shared" si="0"/>
        <v>6</v>
      </c>
      <c r="B13" s="134" t="s">
        <v>374</v>
      </c>
      <c r="C13" s="144" t="s">
        <v>375</v>
      </c>
      <c r="D13" s="16">
        <v>38507</v>
      </c>
      <c r="E13" s="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8"/>
      <c r="AI13" s="11">
        <f>COUNTIF(ParticipationSeptembre162122232428303132[[#This Row],[fecha de nacimiento]:[30]],Code1)</f>
        <v>0</v>
      </c>
      <c r="AJ13" s="120">
        <f>COUNTIF(ParticipationSeptembre162122232428303132[[#This Row],[fecha de nacimiento]:[30]],Code2)</f>
        <v>0</v>
      </c>
      <c r="AK13" s="120">
        <f>COUNTIF(ParticipationSeptembre162122232428303132[[#This Row],[fecha de nacimiento]:[30]],Code3)</f>
        <v>0</v>
      </c>
      <c r="AL13" s="120">
        <f>COUNTIF(ParticipationSeptembre162122232428303132[[#This Row],[fecha de nacimiento]:[30]],Code4)</f>
        <v>0</v>
      </c>
      <c r="AM13" s="12">
        <f>SUM(ParticipationSeptembre162122232428303132[[#This Row],[E]:[N1]])</f>
        <v>0</v>
      </c>
    </row>
    <row r="14" spans="1:40" ht="16.5" customHeight="1">
      <c r="A14" s="6">
        <f t="shared" si="0"/>
        <v>7</v>
      </c>
      <c r="B14" s="135" t="s">
        <v>297</v>
      </c>
      <c r="C14" s="145" t="s">
        <v>298</v>
      </c>
      <c r="D14" s="16">
        <v>38434</v>
      </c>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9"/>
      <c r="AG14" s="7"/>
      <c r="AH14" s="7"/>
      <c r="AI14" s="7">
        <f>COUNTIF(ParticipationSeptembre162122232428303132[[#This Row],[fecha de nacimiento]:[30]],Code1)</f>
        <v>0</v>
      </c>
      <c r="AJ14" s="7">
        <f>COUNTIF(ParticipationSeptembre162122232428303132[[#This Row],[fecha de nacimiento]:[30]],Code2)</f>
        <v>0</v>
      </c>
      <c r="AK14" s="7">
        <f>COUNTIF(ParticipationSeptembre162122232428303132[[#This Row],[fecha de nacimiento]:[30]],Code3)</f>
        <v>0</v>
      </c>
      <c r="AL14" s="7">
        <f>COUNTIF(ParticipationSeptembre162122232428303132[[#This Row],[fecha de nacimiento]:[30]],Code4)</f>
        <v>0</v>
      </c>
      <c r="AM14" s="7">
        <f>SUM(ParticipationSeptembre162122232428303132[[#This Row],[E]:[N1]])</f>
        <v>0</v>
      </c>
    </row>
    <row r="15" spans="1:40" ht="16.5" customHeight="1">
      <c r="A15" s="6">
        <f t="shared" si="0"/>
        <v>8</v>
      </c>
      <c r="B15" s="134" t="s">
        <v>243</v>
      </c>
      <c r="C15" s="144" t="s">
        <v>244</v>
      </c>
      <c r="D15" s="16">
        <v>39126</v>
      </c>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8"/>
      <c r="AI15" s="11">
        <f>COUNTIF(ParticipationSeptembre162122232428303132[[#This Row],[fecha de nacimiento]:[30]],Code1)</f>
        <v>0</v>
      </c>
      <c r="AJ15" s="120">
        <f>COUNTIF(ParticipationSeptembre162122232428303132[[#This Row],[fecha de nacimiento]:[30]],Code2)</f>
        <v>0</v>
      </c>
      <c r="AK15" s="120">
        <f>COUNTIF(ParticipationSeptembre162122232428303132[[#This Row],[fecha de nacimiento]:[30]],Code3)</f>
        <v>0</v>
      </c>
      <c r="AL15" s="120">
        <f>COUNTIF(ParticipationSeptembre162122232428303132[[#This Row],[fecha de nacimiento]:[30]],Code4)</f>
        <v>0</v>
      </c>
      <c r="AM15" s="12">
        <f>SUM(ParticipationSeptembre162122232428303132[[#This Row],[E]:[N1]])</f>
        <v>0</v>
      </c>
    </row>
    <row r="16" spans="1:40" ht="16.5" customHeight="1">
      <c r="A16" s="6">
        <f>1+A15</f>
        <v>9</v>
      </c>
      <c r="B16" s="124"/>
      <c r="C16" s="125"/>
      <c r="D16" s="127"/>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8"/>
      <c r="AI16" s="11">
        <f>COUNTIF(ParticipationSeptembre162122232428303132[[#This Row],[fecha de nacimiento]:[30]],Code1)</f>
        <v>0</v>
      </c>
      <c r="AJ16" s="120">
        <f>COUNTIF(ParticipationSeptembre162122232428303132[[#This Row],[fecha de nacimiento]:[30]],Code2)</f>
        <v>0</v>
      </c>
      <c r="AK16" s="120">
        <f>COUNTIF(ParticipationSeptembre162122232428303132[[#This Row],[fecha de nacimiento]:[30]],Code3)</f>
        <v>0</v>
      </c>
      <c r="AL16" s="120">
        <f>COUNTIF(ParticipationSeptembre162122232428303132[[#This Row],[fecha de nacimiento]:[30]],Code4)</f>
        <v>0</v>
      </c>
      <c r="AM16" s="12">
        <f>SUM(ParticipationSeptembre162122232428303132[[#This Row],[E]:[N1]])</f>
        <v>0</v>
      </c>
    </row>
    <row r="17" spans="2:39" ht="16.5" customHeight="1">
      <c r="B17" s="124"/>
      <c r="C17" s="125"/>
      <c r="D17" s="127"/>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8"/>
      <c r="AI17" s="11">
        <f>COUNTIF(ParticipationSeptembre162122232428303132[[#This Row],[fecha de nacimiento]:[30]],Code1)</f>
        <v>0</v>
      </c>
      <c r="AJ17" s="120">
        <f>COUNTIF(ParticipationSeptembre162122232428303132[[#This Row],[fecha de nacimiento]:[30]],Code2)</f>
        <v>0</v>
      </c>
      <c r="AK17" s="120">
        <f>COUNTIF(ParticipationSeptembre162122232428303132[[#This Row],[fecha de nacimiento]:[30]],Code3)</f>
        <v>0</v>
      </c>
      <c r="AL17" s="120">
        <f>COUNTIF(ParticipationSeptembre162122232428303132[[#This Row],[fecha de nacimiento]:[30]],Code4)</f>
        <v>0</v>
      </c>
      <c r="AM17" s="12">
        <f>SUM(ParticipationSeptembre162122232428303132[[#This Row],[E]:[N1]])</f>
        <v>0</v>
      </c>
    </row>
    <row r="18" spans="2:39" ht="16.5" customHeight="1">
      <c r="B18" s="124"/>
      <c r="C18" s="125"/>
      <c r="D18" s="127"/>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8"/>
      <c r="AI18" s="11">
        <f>COUNTIF(ParticipationSeptembre162122232428303132[[#This Row],[fecha de nacimiento]:[30]],Code1)</f>
        <v>0</v>
      </c>
      <c r="AJ18" s="120">
        <f>COUNTIF(ParticipationSeptembre162122232428303132[[#This Row],[fecha de nacimiento]:[30]],Code2)</f>
        <v>0</v>
      </c>
      <c r="AK18" s="120">
        <f>COUNTIF(ParticipationSeptembre162122232428303132[[#This Row],[fecha de nacimiento]:[30]],Code3)</f>
        <v>0</v>
      </c>
      <c r="AL18" s="120">
        <f>COUNTIF(ParticipationSeptembre162122232428303132[[#This Row],[fecha de nacimiento]:[30]],Code4)</f>
        <v>0</v>
      </c>
      <c r="AM18" s="12">
        <f>SUM(ParticipationSeptembre162122232428303132[[#This Row],[E]:[N1]])</f>
        <v>0</v>
      </c>
    </row>
    <row r="19" spans="2:39" ht="16.5" customHeight="1">
      <c r="B19" s="104"/>
      <c r="C19" s="105" t="s">
        <v>78</v>
      </c>
      <c r="D19" s="107">
        <f>COUNTIF(ParticipationSeptembre162122232428303132[fecha de nacimiento],"N1")+COUNTIF(ParticipationSeptembre162122232428303132[fecha de nacimiento],"E")</f>
        <v>0</v>
      </c>
      <c r="E19" s="107">
        <f>COUNTIF(ParticipationSeptembre162122232428303132[29],"N1")+COUNTIF(ParticipationSeptembre162122232428303132[29],"E")</f>
        <v>0</v>
      </c>
      <c r="F19" s="107">
        <f>COUNTIF(ParticipationSeptembre162122232428303132[6],"N1")+COUNTIF(ParticipationSeptembre162122232428303132[6],"E")</f>
        <v>0</v>
      </c>
      <c r="G19" s="107">
        <f>COUNTIF(ParticipationSeptembre162122232428303132[13],"N1")+COUNTIF(ParticipationSeptembre162122232428303132[13],"E")</f>
        <v>0</v>
      </c>
      <c r="H19" s="107">
        <f>COUNTIF(ParticipationSeptembre162122232428303132[20],"N1")+COUNTIF(ParticipationSeptembre162122232428303132[20],"E")</f>
        <v>0</v>
      </c>
      <c r="I19" s="107">
        <f>COUNTIF(ParticipationSeptembre162122232428303132[27],"N1")+COUNTIF(ParticipationSeptembre162122232428303132[27],"E")</f>
        <v>0</v>
      </c>
      <c r="J19" s="107">
        <f>COUNTIF(ParticipationSeptembre162122232428303132[3],"N1")+COUNTIF(ParticipationSeptembre162122232428303132[3],"E")</f>
        <v>0</v>
      </c>
      <c r="K19" s="107">
        <f>COUNTIF(ParticipationSeptembre162122232428303132[10],"N1")+COUNTIF(ParticipationSeptembre162122232428303132[10],"E")</f>
        <v>0</v>
      </c>
      <c r="L19" s="107">
        <f>COUNTIF(ParticipationSeptembre162122232428303132[17],"N1")+COUNTIF(ParticipationSeptembre162122232428303132[17],"E")</f>
        <v>0</v>
      </c>
      <c r="M19" s="107">
        <f>COUNTIF(ParticipationSeptembre162122232428303132[24],"N1")+COUNTIF(ParticipationSeptembre162122232428303132[24],"E")</f>
        <v>0</v>
      </c>
      <c r="N19" s="107">
        <f>COUNTIF(ParticipationSeptembre162122232428303132[14],"N1")+COUNTIF(ParticipationSeptembre162122232428303132[14],"E")</f>
        <v>0</v>
      </c>
      <c r="O19" s="107">
        <f>COUNTIF(ParticipationSeptembre162122232428303132[8],"N1")+COUNTIF(ParticipationSeptembre162122232428303132[8],"E")</f>
        <v>0</v>
      </c>
      <c r="P19" s="107">
        <f>COUNTIF(ParticipationSeptembre162122232428303132[15],"N1")+COUNTIF(ParticipationSeptembre162122232428303132[15],"E")</f>
        <v>0</v>
      </c>
      <c r="Q19" s="107">
        <f>COUNTIF(ParticipationSeptembre162122232428303132[12],"N1")+COUNTIF(ParticipationSeptembre162122232428303132[12],"E")</f>
        <v>0</v>
      </c>
      <c r="R19" s="107">
        <f>COUNTIF(ParticipationSeptembre162122232428303132[19],"N1")+COUNTIF(ParticipationSeptembre162122232428303132[19],"E")</f>
        <v>0</v>
      </c>
      <c r="S19" s="107">
        <f>COUNTIF(ParticipationSeptembre162122232428303132[26],"N1")+COUNTIF(ParticipationSeptembre162122232428303132[26],"E")</f>
        <v>0</v>
      </c>
      <c r="T19" s="107">
        <f>COUNTIF(ParticipationSeptembre162122232428303132[2],"N1")+COUNTIF(ParticipationSeptembre162122232428303132[2],"E")</f>
        <v>0</v>
      </c>
      <c r="U19" s="107">
        <f>COUNTIF(ParticipationSeptembre162122232428303132[9],"N1")+COUNTIF(ParticipationSeptembre162122232428303132[9],"E")</f>
        <v>0</v>
      </c>
      <c r="V19" s="107">
        <f>COUNTIF(ParticipationSeptembre162122232428303132[16],"N1")+COUNTIF(ParticipationSeptembre162122232428303132[16],"E")</f>
        <v>0</v>
      </c>
      <c r="W19" s="107">
        <f>COUNTIF(ParticipationSeptembre162122232428303132[23],"N1")+COUNTIF(ParticipationSeptembre162122232428303132[23],"E")</f>
        <v>0</v>
      </c>
      <c r="X19" s="107">
        <f>COUNTIF(ParticipationSeptembre162122232428303132[*8],"N1")+COUNTIF(ParticipationSeptembre162122232428303132[*8],"E")</f>
        <v>0</v>
      </c>
      <c r="Y19" s="107">
        <f>COUNTIF(ParticipationSeptembre162122232428303132[*15],"N1")+COUNTIF(ParticipationSeptembre162122232428303132[*15],"E")</f>
        <v>0</v>
      </c>
      <c r="Z19" s="107">
        <f>COUNTIF(ParticipationSeptembre162122232428303132[22],"N1")+COUNTIF(ParticipationSeptembre162122232428303132[22],"E")</f>
        <v>0</v>
      </c>
      <c r="AA19" s="107">
        <f>COUNTIF(ParticipationSeptembre162122232428303132[*29],"N1")+COUNTIF(ParticipationSeptembre162122232428303132[*29],"E")</f>
        <v>0</v>
      </c>
      <c r="AB19" s="107">
        <f>COUNTIF(ParticipationSeptembre162122232428303132[*19],"N1")+COUNTIF(ParticipationSeptembre162122232428303132[*19],"E")</f>
        <v>0</v>
      </c>
      <c r="AC19" s="107">
        <f>COUNTIF(ParticipationSeptembre162122232428303132[*26],"N1")+COUNTIF(ParticipationSeptembre162122232428303132[*26],"E")</f>
        <v>0</v>
      </c>
      <c r="AD19" s="107">
        <f>COUNTIF(ParticipationSeptembre162122232428303132[*3],"N1")+COUNTIF(ParticipationSeptembre162122232428303132[*3],"E")</f>
        <v>0</v>
      </c>
      <c r="AE19" s="107">
        <f>COUNTIF(ParticipationSeptembre162122232428303132[*10],"N1")+COUNTIF(ParticipationSeptembre162122232428303132[*10],"E")</f>
        <v>0</v>
      </c>
      <c r="AF19" s="107">
        <f>COUNTIF(ParticipationSeptembre162122232428303132[*17],"N1")+COUNTIF(ParticipationSeptembre162122232428303132[*17],"E")</f>
        <v>0</v>
      </c>
      <c r="AG19" s="107">
        <f>COUNTIF(ParticipationSeptembre162122232428303132[*24],"N1")+COUNTIF(ParticipationSeptembre162122232428303132[*24],"E")</f>
        <v>0</v>
      </c>
      <c r="AH19" s="107">
        <f>COUNTIF(ParticipationSeptembre162122232428303132[30],"N1")+COUNTIF(ParticipationSeptembre162122232428303132[30],"E")</f>
        <v>0</v>
      </c>
      <c r="AI19" s="107">
        <f>SUBTOTAL(109,ParticipationSeptembre162122232428303132[R])</f>
        <v>0</v>
      </c>
      <c r="AJ19" s="107">
        <f>SUBTOTAL(109,ParticipationSeptembre162122232428303132[E])</f>
        <v>0</v>
      </c>
      <c r="AK19" s="107">
        <f>SUBTOTAL(109,ParticipationSeptembre162122232428303132[N1])</f>
        <v>0</v>
      </c>
      <c r="AL19" s="107">
        <f>SUBTOTAL(109,ParticipationSeptembre162122232428303132[P])</f>
        <v>0</v>
      </c>
      <c r="AM19" s="106"/>
    </row>
    <row r="20" spans="2:39" ht="16.5" customHeight="1"/>
    <row r="21" spans="2:39" ht="16.5" customHeight="1"/>
    <row r="22" spans="2:39" ht="16.5" customHeight="1"/>
    <row r="23" spans="2:39" ht="16.5" customHeight="1"/>
    <row r="24" spans="2:39" ht="16.5" customHeight="1"/>
    <row r="25" spans="2:39" ht="16.5" customHeight="1"/>
    <row r="26" spans="2:39" ht="16.5" customHeight="1"/>
    <row r="27" spans="2:39" ht="16.5" customHeight="1"/>
    <row r="28" spans="2:39" ht="16.5" customHeight="1"/>
    <row r="29" spans="2:39" ht="16.5" customHeight="1"/>
    <row r="30" spans="2:39" ht="16.5" customHeight="1"/>
    <row r="31" spans="2:39" ht="16.5" customHeight="1"/>
    <row r="32" spans="2:39"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sheetData>
  <sheetProtection formatCells="0" formatColumns="0" formatRows="0" insertColumns="0" insertRows="0" insertHyperlinks="0" deleteColumns="0" deleteRows="0" sort="0" autoFilter="0" pivotTables="0"/>
  <mergeCells count="1">
    <mergeCell ref="AI5:AM5"/>
  </mergeCells>
  <conditionalFormatting sqref="AG7:AI18 E15:AF15">
    <cfRule type="expression" dxfId="128" priority="12" stopIfTrue="1">
      <formula>E7=Code2</formula>
    </cfRule>
  </conditionalFormatting>
  <conditionalFormatting sqref="AG7:AH18 E15:AF15">
    <cfRule type="expression" dxfId="127" priority="13" stopIfTrue="1">
      <formula>E7=Code5</formula>
    </cfRule>
    <cfRule type="expression" dxfId="126" priority="14" stopIfTrue="1">
      <formula>E7=Code4</formula>
    </cfRule>
    <cfRule type="expression" dxfId="125" priority="15" stopIfTrue="1">
      <formula>E7=Code3</formula>
    </cfRule>
    <cfRule type="expression" dxfId="124" priority="16" stopIfTrue="1">
      <formula>E7=Code1</formula>
    </cfRule>
  </conditionalFormatting>
  <conditionalFormatting sqref="D8:AF14">
    <cfRule type="expression" dxfId="123" priority="6" stopIfTrue="1">
      <formula>D8=Code2</formula>
    </cfRule>
  </conditionalFormatting>
  <conditionalFormatting sqref="D8:AF14">
    <cfRule type="expression" dxfId="122" priority="7" stopIfTrue="1">
      <formula>D8=Code5</formula>
    </cfRule>
    <cfRule type="expression" dxfId="121" priority="8" stopIfTrue="1">
      <formula>D8=Code4</formula>
    </cfRule>
    <cfRule type="expression" dxfId="120" priority="9" stopIfTrue="1">
      <formula>D8=Code3</formula>
    </cfRule>
    <cfRule type="expression" dxfId="119" priority="10" stopIfTrue="1">
      <formula>D8=Code1</formula>
    </cfRule>
  </conditionalFormatting>
  <conditionalFormatting sqref="D15">
    <cfRule type="expression" dxfId="118" priority="1" stopIfTrue="1">
      <formula>D15=Code2</formula>
    </cfRule>
  </conditionalFormatting>
  <conditionalFormatting sqref="D15">
    <cfRule type="expression" dxfId="117" priority="2" stopIfTrue="1">
      <formula>D15=Code5</formula>
    </cfRule>
    <cfRule type="expression" dxfId="116" priority="3" stopIfTrue="1">
      <formula>D15=Code4</formula>
    </cfRule>
    <cfRule type="expression" dxfId="115" priority="4" stopIfTrue="1">
      <formula>D15=Code3</formula>
    </cfRule>
    <cfRule type="expression" dxfId="114" priority="5" stopIfTrue="1">
      <formula>D15=Code1</formula>
    </cfRule>
  </conditionalFormatting>
  <conditionalFormatting sqref="AM7:AM18">
    <cfRule type="dataBar" priority="204">
      <dataBar>
        <cfvo type="min"/>
        <cfvo type="num" val="31"/>
        <color theme="4"/>
      </dataBar>
      <extLst>
        <ext xmlns:x14="http://schemas.microsoft.com/office/spreadsheetml/2009/9/main" uri="{B025F937-C7B1-47D3-B67F-A62EFF666E3E}">
          <x14:id>{65EC9495-BB3B-47FA-8DFB-2A672F7BCDC1}</x14:id>
        </ext>
      </extLst>
    </cfRule>
  </conditionalFormatting>
  <dataValidations count="1">
    <dataValidation type="list" errorStyle="warning" allowBlank="1" showInputMessage="1" showErrorMessage="1" errorTitle="Whoops!" error="The Student ID you entered isn't on the Student List sheet. You can click Yes to use what you entered but that Student ID won't be available on the Student Attendance Report sheet." sqref="B7:B18">
      <formula1>IDÉtudiant</formula1>
    </dataValidation>
  </dataValidations>
  <printOptions horizontalCentered="1"/>
  <pageMargins left="0.51181102362204722" right="0.51181102362204722" top="0.74803149606299213" bottom="0.74803149606299213" header="0.31496062992125984" footer="0.31496062992125984"/>
  <pageSetup paperSize="5" scale="72" fitToHeight="0" orientation="landscape" r:id="rId1"/>
  <headerFooter>
    <oddHeader>&amp;CMisión Santa Teresa de Avila
Lista de presencia de los grupos de catequesis
2019-2020</oddHeader>
  </headerFooter>
  <ignoredErrors>
    <ignoredError sqref="B8:B14 B15:D15" listDataValidation="1"/>
  </ignoredError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65EC9495-BB3B-47FA-8DFB-2A672F7BCDC1}">
            <x14:dataBar minLength="0" maxLength="100" border="1" negativeBarBorderColorSameAsPositive="0">
              <x14:cfvo type="autoMin"/>
              <x14:cfvo type="num">
                <xm:f>31</xm:f>
              </x14:cfvo>
              <x14:borderColor theme="4"/>
              <x14:negativeFillColor rgb="FFFF0000"/>
              <x14:negativeBorderColor rgb="FFFF0000"/>
              <x14:axisColor rgb="FF000000"/>
            </x14:dataBar>
          </x14:cfRule>
          <xm:sqref>AM7:AM18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N346"/>
  <sheetViews>
    <sheetView showGridLines="0" zoomScaleNormal="100" workbookViewId="0">
      <pane xSplit="3" ySplit="6" topLeftCell="D7" activePane="bottomRight" state="frozen"/>
      <selection pane="topRight"/>
      <selection pane="bottomLeft"/>
      <selection pane="bottomRight" activeCell="I14" sqref="I14"/>
    </sheetView>
  </sheetViews>
  <sheetFormatPr baseColWidth="10" defaultColWidth="9.140625" defaultRowHeight="15" customHeight="1"/>
  <cols>
    <col min="1" max="1" width="2.7109375" style="12" customWidth="1"/>
    <col min="2" max="2" width="19.5703125" style="12" customWidth="1"/>
    <col min="3" max="3" width="22.7109375" style="13" customWidth="1"/>
    <col min="4" max="4" width="12.140625" style="11" customWidth="1"/>
    <col min="5" max="34" width="5" style="11" customWidth="1"/>
    <col min="35" max="35" width="4.7109375" style="10" customWidth="1"/>
    <col min="36" max="36" width="4.7109375" style="11" customWidth="1"/>
    <col min="37" max="38" width="4.7109375" style="12" customWidth="1"/>
    <col min="39" max="39" width="9.140625" style="12" customWidth="1"/>
    <col min="40" max="16384" width="9.140625" style="12"/>
  </cols>
  <sheetData>
    <row r="1" spans="1:40" s="1" customFormat="1" ht="42" customHeight="1">
      <c r="A1" s="102" t="s">
        <v>477</v>
      </c>
      <c r="B1" s="28"/>
      <c r="C1" s="28"/>
      <c r="D1" s="179"/>
      <c r="E1" s="180"/>
      <c r="F1" s="180"/>
      <c r="G1" s="180"/>
      <c r="H1" s="180"/>
      <c r="I1" s="180" t="s">
        <v>586</v>
      </c>
      <c r="J1" s="180"/>
      <c r="K1" s="180"/>
      <c r="L1" s="180"/>
      <c r="M1" s="180"/>
      <c r="N1" s="180"/>
      <c r="O1" s="180"/>
      <c r="P1" s="180"/>
      <c r="Q1" s="29"/>
      <c r="R1" s="29"/>
      <c r="S1" s="29"/>
      <c r="T1" s="29"/>
      <c r="U1" s="29"/>
      <c r="V1" s="29"/>
      <c r="W1" s="29"/>
      <c r="X1" s="29"/>
      <c r="Y1" s="29"/>
      <c r="Z1" s="29"/>
      <c r="AA1" s="29"/>
      <c r="AB1" s="29"/>
      <c r="AC1" s="28"/>
      <c r="AD1" s="28"/>
      <c r="AE1" s="28"/>
      <c r="AF1" s="28"/>
      <c r="AG1" s="30"/>
      <c r="AH1" s="28"/>
      <c r="AI1" s="28"/>
      <c r="AJ1" s="31"/>
      <c r="AK1" s="28"/>
      <c r="AL1" s="46" t="s">
        <v>117</v>
      </c>
      <c r="AM1" s="47">
        <v>2019</v>
      </c>
    </row>
    <row r="2" spans="1:40" customFormat="1" ht="13.5"/>
    <row r="3" spans="1:40" s="24" customFormat="1" ht="12.75" customHeight="1">
      <c r="B3" s="24" t="s">
        <v>585</v>
      </c>
      <c r="C3" s="34"/>
      <c r="D3" s="40" t="str">
        <f>Code1</f>
        <v>R</v>
      </c>
      <c r="E3" s="56" t="s">
        <v>118</v>
      </c>
      <c r="F3" s="48"/>
      <c r="H3" s="41" t="str">
        <f>Code2</f>
        <v>E</v>
      </c>
      <c r="I3" s="45" t="s">
        <v>119</v>
      </c>
      <c r="L3" s="42" t="str">
        <f>Code3</f>
        <v>N1</v>
      </c>
      <c r="M3" s="45" t="s">
        <v>123</v>
      </c>
      <c r="P3" s="43" t="str">
        <f>Code4</f>
        <v>P</v>
      </c>
      <c r="Q3" s="45" t="s">
        <v>121</v>
      </c>
      <c r="T3" s="44" t="str">
        <f>Code5</f>
        <v>N</v>
      </c>
      <c r="U3" s="45"/>
      <c r="W3"/>
      <c r="X3"/>
      <c r="Y3"/>
      <c r="AD3" s="23"/>
      <c r="AE3" s="23"/>
      <c r="AH3" s="25"/>
      <c r="AI3" s="26"/>
      <c r="AK3" s="27"/>
    </row>
    <row r="4" spans="1:40" customFormat="1" ht="16.5" customHeight="1"/>
    <row r="5" spans="1:40" s="2" customFormat="1" ht="18" customHeight="1">
      <c r="B5" s="176">
        <v>42277</v>
      </c>
      <c r="C5" s="49"/>
      <c r="D5" s="32"/>
      <c r="E5" s="110" t="s">
        <v>95</v>
      </c>
      <c r="F5" s="111" t="s">
        <v>96</v>
      </c>
      <c r="G5" s="112" t="s">
        <v>96</v>
      </c>
      <c r="H5" s="112" t="s">
        <v>96</v>
      </c>
      <c r="I5" s="112" t="s">
        <v>96</v>
      </c>
      <c r="J5" s="112" t="s">
        <v>97</v>
      </c>
      <c r="K5" s="112" t="s">
        <v>97</v>
      </c>
      <c r="L5" s="112" t="s">
        <v>97</v>
      </c>
      <c r="M5" s="112" t="s">
        <v>97</v>
      </c>
      <c r="N5" s="112" t="s">
        <v>98</v>
      </c>
      <c r="O5" s="112" t="s">
        <v>98</v>
      </c>
      <c r="P5" s="112" t="s">
        <v>98</v>
      </c>
      <c r="Q5" s="112" t="s">
        <v>99</v>
      </c>
      <c r="R5" s="112" t="s">
        <v>99</v>
      </c>
      <c r="S5" s="112" t="s">
        <v>99</v>
      </c>
      <c r="T5" s="112" t="s">
        <v>100</v>
      </c>
      <c r="U5" s="112" t="s">
        <v>100</v>
      </c>
      <c r="V5" s="112" t="s">
        <v>100</v>
      </c>
      <c r="W5" s="112" t="s">
        <v>100</v>
      </c>
      <c r="X5" s="112" t="s">
        <v>101</v>
      </c>
      <c r="Y5" s="112" t="s">
        <v>101</v>
      </c>
      <c r="Z5" s="112" t="s">
        <v>101</v>
      </c>
      <c r="AA5" s="112" t="s">
        <v>101</v>
      </c>
      <c r="AB5" s="112" t="s">
        <v>102</v>
      </c>
      <c r="AC5" s="112" t="s">
        <v>103</v>
      </c>
      <c r="AD5" s="112" t="s">
        <v>104</v>
      </c>
      <c r="AE5" s="112" t="s">
        <v>104</v>
      </c>
      <c r="AF5" s="112" t="s">
        <v>104</v>
      </c>
      <c r="AG5" s="112" t="s">
        <v>104</v>
      </c>
      <c r="AH5" s="112" t="s">
        <v>104</v>
      </c>
      <c r="AI5" s="190" t="s">
        <v>28</v>
      </c>
      <c r="AJ5" s="191"/>
      <c r="AK5" s="191"/>
      <c r="AL5" s="191"/>
      <c r="AM5" s="192"/>
    </row>
    <row r="6" spans="1:40" s="6" customFormat="1" ht="28.5" customHeight="1">
      <c r="B6" t="s">
        <v>451</v>
      </c>
      <c r="C6" t="s">
        <v>452</v>
      </c>
      <c r="D6" s="157" t="s">
        <v>552</v>
      </c>
      <c r="E6" s="3" t="s">
        <v>19</v>
      </c>
      <c r="F6" s="3" t="s">
        <v>2</v>
      </c>
      <c r="G6" s="3" t="s">
        <v>7</v>
      </c>
      <c r="H6" s="3" t="s">
        <v>13</v>
      </c>
      <c r="I6" s="3" t="s">
        <v>18</v>
      </c>
      <c r="J6" s="3" t="s">
        <v>1</v>
      </c>
      <c r="K6" s="3" t="s">
        <v>5</v>
      </c>
      <c r="L6" s="3" t="s">
        <v>11</v>
      </c>
      <c r="M6" s="3" t="s">
        <v>16</v>
      </c>
      <c r="N6" s="3" t="s">
        <v>8</v>
      </c>
      <c r="O6" s="3" t="s">
        <v>3</v>
      </c>
      <c r="P6" s="3" t="s">
        <v>9</v>
      </c>
      <c r="Q6" s="3" t="s">
        <v>6</v>
      </c>
      <c r="R6" s="3" t="s">
        <v>12</v>
      </c>
      <c r="S6" s="3" t="s">
        <v>17</v>
      </c>
      <c r="T6" s="3" t="s">
        <v>0</v>
      </c>
      <c r="U6" s="3" t="s">
        <v>4</v>
      </c>
      <c r="V6" s="3" t="s">
        <v>10</v>
      </c>
      <c r="W6" s="3" t="s">
        <v>15</v>
      </c>
      <c r="X6" s="3" t="s">
        <v>105</v>
      </c>
      <c r="Y6" s="3" t="s">
        <v>106</v>
      </c>
      <c r="Z6" s="3" t="s">
        <v>14</v>
      </c>
      <c r="AA6" s="3" t="s">
        <v>107</v>
      </c>
      <c r="AB6" s="3" t="s">
        <v>108</v>
      </c>
      <c r="AC6" s="3" t="s">
        <v>109</v>
      </c>
      <c r="AD6" s="3" t="s">
        <v>110</v>
      </c>
      <c r="AE6" s="3" t="s">
        <v>111</v>
      </c>
      <c r="AF6" s="3" t="s">
        <v>112</v>
      </c>
      <c r="AG6" s="3" t="s">
        <v>113</v>
      </c>
      <c r="AH6" s="3" t="s">
        <v>20</v>
      </c>
      <c r="AI6" s="81" t="s">
        <v>25</v>
      </c>
      <c r="AJ6" s="57" t="s">
        <v>26</v>
      </c>
      <c r="AK6" s="58" t="s">
        <v>81</v>
      </c>
      <c r="AL6" s="59" t="s">
        <v>21</v>
      </c>
      <c r="AM6" s="156" t="s">
        <v>122</v>
      </c>
      <c r="AN6" s="5"/>
    </row>
    <row r="7" spans="1:40" s="6" customFormat="1" ht="16.5" customHeight="1">
      <c r="A7" s="6">
        <v>1</v>
      </c>
      <c r="B7" s="134" t="s">
        <v>138</v>
      </c>
      <c r="C7" s="144" t="s">
        <v>132</v>
      </c>
      <c r="D7" s="16">
        <v>38304</v>
      </c>
      <c r="E7" s="16"/>
      <c r="F7" s="21"/>
      <c r="G7" s="21"/>
      <c r="H7" s="21"/>
      <c r="I7" s="21"/>
      <c r="J7" s="21"/>
      <c r="K7" s="21"/>
      <c r="L7" s="21"/>
      <c r="M7" s="21"/>
      <c r="N7" s="21"/>
      <c r="O7" s="21"/>
      <c r="P7" s="21"/>
      <c r="Q7" s="21"/>
      <c r="R7" s="21"/>
      <c r="S7" s="21"/>
      <c r="T7" s="21"/>
      <c r="U7" s="21"/>
      <c r="V7" s="21"/>
      <c r="W7" s="21"/>
      <c r="X7" s="21"/>
      <c r="Y7" s="21"/>
      <c r="Z7" s="21"/>
      <c r="AA7" s="21"/>
      <c r="AB7" s="21"/>
      <c r="AC7" s="21"/>
      <c r="AD7" s="21"/>
      <c r="AE7" s="21"/>
      <c r="AF7" s="22"/>
      <c r="AG7" s="20"/>
      <c r="AH7" s="20"/>
      <c r="AI7" s="7">
        <f>COUNTIF(ParticipationSeptembre1621222324283031[[#This Row],[fecha de nacimiento]:[30]],Code1)</f>
        <v>0</v>
      </c>
      <c r="AJ7" s="38">
        <f>COUNTIF(ParticipationSeptembre1621222324283031[[#This Row],[fecha de nacimiento]:[30]],Code2)</f>
        <v>0</v>
      </c>
      <c r="AK7" s="38">
        <f>COUNTIF(ParticipationSeptembre1621222324283031[[#This Row],[fecha de nacimiento]:[30]],Code3)</f>
        <v>0</v>
      </c>
      <c r="AL7" s="38">
        <f>COUNTIF(ParticipationSeptembre1621222324283031[[#This Row],[fecha de nacimiento]:[30]],Code4)</f>
        <v>0</v>
      </c>
      <c r="AM7" s="7">
        <f>SUM(ParticipationSeptembre1621222324283031[[#This Row],[E]:[N1]])</f>
        <v>0</v>
      </c>
      <c r="AN7" s="5"/>
    </row>
    <row r="8" spans="1:40" s="6" customFormat="1" ht="16.5" customHeight="1">
      <c r="A8" s="6">
        <f>1+A7</f>
        <v>2</v>
      </c>
      <c r="B8" s="134" t="s">
        <v>157</v>
      </c>
      <c r="C8" s="144" t="s">
        <v>162</v>
      </c>
      <c r="D8" s="16">
        <v>38296</v>
      </c>
      <c r="E8" s="16"/>
      <c r="F8" s="21"/>
      <c r="G8" s="21"/>
      <c r="H8" s="21"/>
      <c r="I8" s="21"/>
      <c r="J8" s="21"/>
      <c r="K8" s="21"/>
      <c r="L8" s="21"/>
      <c r="M8" s="21"/>
      <c r="N8" s="21"/>
      <c r="O8" s="21"/>
      <c r="P8" s="21"/>
      <c r="Q8" s="21"/>
      <c r="R8" s="21"/>
      <c r="S8" s="21"/>
      <c r="T8" s="21"/>
      <c r="U8" s="21"/>
      <c r="V8" s="21"/>
      <c r="W8" s="21"/>
      <c r="X8" s="21"/>
      <c r="Y8" s="21"/>
      <c r="Z8" s="21"/>
      <c r="AA8" s="21"/>
      <c r="AB8" s="21"/>
      <c r="AC8" s="21"/>
      <c r="AD8" s="21"/>
      <c r="AE8" s="21"/>
      <c r="AF8" s="22"/>
      <c r="AG8" s="20"/>
      <c r="AH8" s="20"/>
      <c r="AI8" s="7">
        <f>COUNTIF(ParticipationSeptembre1621222324283031[[#This Row],[fecha de nacimiento]:[30]],Code1)</f>
        <v>0</v>
      </c>
      <c r="AJ8" s="38">
        <f>COUNTIF(ParticipationSeptembre1621222324283031[[#This Row],[fecha de nacimiento]:[30]],Code2)</f>
        <v>0</v>
      </c>
      <c r="AK8" s="38">
        <f>COUNTIF(ParticipationSeptembre1621222324283031[[#This Row],[fecha de nacimiento]:[30]],Code3)</f>
        <v>0</v>
      </c>
      <c r="AL8" s="38">
        <f>COUNTIF(ParticipationSeptembre1621222324283031[[#This Row],[fecha de nacimiento]:[30]],Code4)</f>
        <v>0</v>
      </c>
      <c r="AM8" s="7">
        <f>SUM(ParticipationSeptembre1621222324283031[[#This Row],[E]:[N1]])</f>
        <v>0</v>
      </c>
      <c r="AN8" s="5"/>
    </row>
    <row r="9" spans="1:40" s="9" customFormat="1" ht="16.5" customHeight="1">
      <c r="A9" s="6">
        <f t="shared" ref="A9:A14" si="0">1+A8</f>
        <v>3</v>
      </c>
      <c r="B9" s="134" t="s">
        <v>172</v>
      </c>
      <c r="C9" s="144" t="s">
        <v>167</v>
      </c>
      <c r="D9" s="16">
        <v>38239</v>
      </c>
      <c r="E9" s="16"/>
      <c r="F9" s="21"/>
      <c r="G9" s="21"/>
      <c r="H9" s="21"/>
      <c r="I9" s="21"/>
      <c r="J9" s="21"/>
      <c r="K9" s="21"/>
      <c r="L9" s="21"/>
      <c r="M9" s="21"/>
      <c r="N9" s="21"/>
      <c r="O9" s="21"/>
      <c r="P9" s="21"/>
      <c r="Q9" s="21"/>
      <c r="R9" s="21"/>
      <c r="S9" s="21"/>
      <c r="T9" s="21"/>
      <c r="U9" s="21"/>
      <c r="V9" s="21"/>
      <c r="W9" s="21"/>
      <c r="X9" s="21"/>
      <c r="Y9" s="21"/>
      <c r="Z9" s="21"/>
      <c r="AA9" s="21"/>
      <c r="AB9" s="21"/>
      <c r="AC9" s="21"/>
      <c r="AD9" s="21"/>
      <c r="AE9" s="21"/>
      <c r="AF9" s="22"/>
      <c r="AG9" s="20"/>
      <c r="AH9" s="20"/>
      <c r="AI9" s="7">
        <f>COUNTIF(ParticipationSeptembre1621222324283031[[#This Row],[fecha de nacimiento]:[30]],Code1)</f>
        <v>0</v>
      </c>
      <c r="AJ9" s="38">
        <f>COUNTIF(ParticipationSeptembre1621222324283031[[#This Row],[fecha de nacimiento]:[30]],Code2)</f>
        <v>0</v>
      </c>
      <c r="AK9" s="38">
        <f>COUNTIF(ParticipationSeptembre1621222324283031[[#This Row],[fecha de nacimiento]:[30]],Code3)</f>
        <v>0</v>
      </c>
      <c r="AL9" s="38">
        <f>COUNTIF(ParticipationSeptembre1621222324283031[[#This Row],[fecha de nacimiento]:[30]],Code4)</f>
        <v>0</v>
      </c>
      <c r="AM9" s="7">
        <f>SUM(ParticipationSeptembre1621222324283031[[#This Row],[E]:[N1]])</f>
        <v>0</v>
      </c>
      <c r="AN9" s="8"/>
    </row>
    <row r="10" spans="1:40" ht="16.5" customHeight="1">
      <c r="A10" s="6">
        <f t="shared" si="0"/>
        <v>4</v>
      </c>
      <c r="B10" s="134" t="s">
        <v>426</v>
      </c>
      <c r="C10" s="144" t="s">
        <v>427</v>
      </c>
      <c r="D10" s="16">
        <v>38068</v>
      </c>
      <c r="E10" s="16"/>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2"/>
      <c r="AG10" s="20"/>
      <c r="AH10" s="20"/>
      <c r="AI10" s="7">
        <f>COUNTIF(ParticipationSeptembre1621222324283031[[#This Row],[fecha de nacimiento]:[30]],Code1)</f>
        <v>0</v>
      </c>
      <c r="AJ10" s="38">
        <f>COUNTIF(ParticipationSeptembre1621222324283031[[#This Row],[fecha de nacimiento]:[30]],Code2)</f>
        <v>0</v>
      </c>
      <c r="AK10" s="38">
        <f>COUNTIF(ParticipationSeptembre1621222324283031[[#This Row],[fecha de nacimiento]:[30]],Code3)</f>
        <v>0</v>
      </c>
      <c r="AL10" s="38">
        <f>COUNTIF(ParticipationSeptembre1621222324283031[[#This Row],[fecha de nacimiento]:[30]],Code4)</f>
        <v>0</v>
      </c>
      <c r="AM10" s="7">
        <f>SUM(ParticipationSeptembre1621222324283031[[#This Row],[E]:[N1]])</f>
        <v>0</v>
      </c>
      <c r="AN10" s="11"/>
    </row>
    <row r="11" spans="1:40" ht="16.5" customHeight="1">
      <c r="A11" s="6">
        <f t="shared" si="0"/>
        <v>5</v>
      </c>
      <c r="B11" s="134" t="s">
        <v>196</v>
      </c>
      <c r="C11" s="144" t="s">
        <v>197</v>
      </c>
      <c r="D11" s="16">
        <v>37847</v>
      </c>
      <c r="E11" s="16"/>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2"/>
      <c r="AG11" s="20"/>
      <c r="AH11" s="20"/>
      <c r="AI11" s="7">
        <f>COUNTIF(ParticipationSeptembre1621222324283031[[#This Row],[fecha de nacimiento]:[30]],Code1)</f>
        <v>0</v>
      </c>
      <c r="AJ11" s="38">
        <f>COUNTIF(ParticipationSeptembre1621222324283031[[#This Row],[fecha de nacimiento]:[30]],Code2)</f>
        <v>0</v>
      </c>
      <c r="AK11" s="38">
        <f>COUNTIF(ParticipationSeptembre1621222324283031[[#This Row],[fecha de nacimiento]:[30]],Code3)</f>
        <v>0</v>
      </c>
      <c r="AL11" s="38">
        <f>COUNTIF(ParticipationSeptembre1621222324283031[[#This Row],[fecha de nacimiento]:[30]],Code4)</f>
        <v>0</v>
      </c>
      <c r="AM11" s="7">
        <f>SUM(ParticipationSeptembre1621222324283031[[#This Row],[E]:[N1]])</f>
        <v>0</v>
      </c>
      <c r="AN11" s="11"/>
    </row>
    <row r="12" spans="1:40" ht="16.5" customHeight="1">
      <c r="A12" s="6">
        <f t="shared" si="0"/>
        <v>6</v>
      </c>
      <c r="B12" s="134" t="s">
        <v>173</v>
      </c>
      <c r="C12" s="144" t="s">
        <v>167</v>
      </c>
      <c r="D12" s="16">
        <v>37671</v>
      </c>
      <c r="E12" s="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8"/>
      <c r="AI12" s="11">
        <f>COUNTIF(ParticipationSeptembre1621222324283031[[#This Row],[fecha de nacimiento]:[30]],Code1)</f>
        <v>0</v>
      </c>
      <c r="AJ12" s="120">
        <f>COUNTIF(ParticipationSeptembre1621222324283031[[#This Row],[fecha de nacimiento]:[30]],Code2)</f>
        <v>0</v>
      </c>
      <c r="AK12" s="120">
        <f>COUNTIF(ParticipationSeptembre1621222324283031[[#This Row],[fecha de nacimiento]:[30]],Code3)</f>
        <v>0</v>
      </c>
      <c r="AL12" s="120">
        <f>COUNTIF(ParticipationSeptembre1621222324283031[[#This Row],[fecha de nacimiento]:[30]],Code4)</f>
        <v>0</v>
      </c>
      <c r="AM12" s="12">
        <f>SUM(ParticipationSeptembre1621222324283031[[#This Row],[E]:[N1]])</f>
        <v>0</v>
      </c>
    </row>
    <row r="13" spans="1:40" ht="16.5" customHeight="1">
      <c r="A13" s="6">
        <f t="shared" si="0"/>
        <v>7</v>
      </c>
      <c r="B13" s="146" t="s">
        <v>340</v>
      </c>
      <c r="C13" s="147" t="s">
        <v>341</v>
      </c>
      <c r="D13" s="16">
        <v>38371</v>
      </c>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9"/>
      <c r="AG13" s="7"/>
      <c r="AH13" s="7"/>
      <c r="AI13" s="7">
        <f>COUNTIF(ParticipationSeptembre1621222324283031[[#This Row],[fecha de nacimiento]:[30]],Code1)</f>
        <v>0</v>
      </c>
      <c r="AJ13" s="7">
        <f>COUNTIF(ParticipationSeptembre1621222324283031[[#This Row],[fecha de nacimiento]:[30]],Code2)</f>
        <v>0</v>
      </c>
      <c r="AK13" s="7">
        <f>COUNTIF(ParticipationSeptembre1621222324283031[[#This Row],[fecha de nacimiento]:[30]],Code3)</f>
        <v>0</v>
      </c>
      <c r="AL13" s="7">
        <f>COUNTIF(ParticipationSeptembre1621222324283031[[#This Row],[fecha de nacimiento]:[30]],Code4)</f>
        <v>0</v>
      </c>
      <c r="AM13" s="7">
        <f>SUM(ParticipationSeptembre1621222324283031[[#This Row],[E]:[N1]])</f>
        <v>0</v>
      </c>
    </row>
    <row r="14" spans="1:40" ht="16.5" customHeight="1">
      <c r="A14" s="6">
        <f t="shared" si="0"/>
        <v>8</v>
      </c>
      <c r="B14" s="146" t="s">
        <v>149</v>
      </c>
      <c r="C14" s="147" t="s">
        <v>150</v>
      </c>
      <c r="D14" s="16">
        <v>38410</v>
      </c>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8"/>
      <c r="AI14" s="11">
        <f>COUNTIF(ParticipationSeptembre1621222324283031[[#This Row],[fecha de nacimiento]:[30]],Code1)</f>
        <v>0</v>
      </c>
      <c r="AJ14" s="120">
        <f>COUNTIF(ParticipationSeptembre1621222324283031[[#This Row],[fecha de nacimiento]:[30]],Code2)</f>
        <v>0</v>
      </c>
      <c r="AK14" s="120">
        <f>COUNTIF(ParticipationSeptembre1621222324283031[[#This Row],[fecha de nacimiento]:[30]],Code3)</f>
        <v>0</v>
      </c>
      <c r="AL14" s="120">
        <f>COUNTIF(ParticipationSeptembre1621222324283031[[#This Row],[fecha de nacimiento]:[30]],Code4)</f>
        <v>0</v>
      </c>
      <c r="AM14" s="12">
        <f>SUM(ParticipationSeptembre1621222324283031[[#This Row],[E]:[N1]])</f>
        <v>0</v>
      </c>
    </row>
    <row r="15" spans="1:40" ht="16.5" customHeight="1">
      <c r="A15" s="6">
        <f>1+A14</f>
        <v>9</v>
      </c>
      <c r="B15" s="124"/>
      <c r="C15" s="125"/>
      <c r="D15" s="127"/>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8"/>
      <c r="AI15" s="11">
        <f>COUNTIF(ParticipationSeptembre1621222324283031[[#This Row],[fecha de nacimiento]:[30]],Code1)</f>
        <v>0</v>
      </c>
      <c r="AJ15" s="120">
        <f>COUNTIF(ParticipationSeptembre1621222324283031[[#This Row],[fecha de nacimiento]:[30]],Code2)</f>
        <v>0</v>
      </c>
      <c r="AK15" s="120">
        <f>COUNTIF(ParticipationSeptembre1621222324283031[[#This Row],[fecha de nacimiento]:[30]],Code3)</f>
        <v>0</v>
      </c>
      <c r="AL15" s="120">
        <f>COUNTIF(ParticipationSeptembre1621222324283031[[#This Row],[fecha de nacimiento]:[30]],Code4)</f>
        <v>0</v>
      </c>
      <c r="AM15" s="12">
        <f>SUM(ParticipationSeptembre1621222324283031[[#This Row],[E]:[N1]])</f>
        <v>0</v>
      </c>
    </row>
    <row r="16" spans="1:40" ht="16.5" customHeight="1">
      <c r="B16" s="124"/>
      <c r="C16" s="125"/>
      <c r="D16" s="127"/>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8"/>
      <c r="AI16" s="11">
        <f>COUNTIF(ParticipationSeptembre1621222324283031[[#This Row],[fecha de nacimiento]:[30]],Code1)</f>
        <v>0</v>
      </c>
      <c r="AJ16" s="120">
        <f>COUNTIF(ParticipationSeptembre1621222324283031[[#This Row],[fecha de nacimiento]:[30]],Code2)</f>
        <v>0</v>
      </c>
      <c r="AK16" s="120">
        <f>COUNTIF(ParticipationSeptembre1621222324283031[[#This Row],[fecha de nacimiento]:[30]],Code3)</f>
        <v>0</v>
      </c>
      <c r="AL16" s="120">
        <f>COUNTIF(ParticipationSeptembre1621222324283031[[#This Row],[fecha de nacimiento]:[30]],Code4)</f>
        <v>0</v>
      </c>
      <c r="AM16" s="12">
        <f>SUM(ParticipationSeptembre1621222324283031[[#This Row],[E]:[N1]])</f>
        <v>0</v>
      </c>
    </row>
    <row r="17" spans="2:39" ht="16.5" customHeight="1">
      <c r="B17" s="124"/>
      <c r="C17" s="125"/>
      <c r="D17" s="127"/>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8"/>
      <c r="AI17" s="11">
        <f>COUNTIF(ParticipationSeptembre1621222324283031[[#This Row],[fecha de nacimiento]:[30]],Code1)</f>
        <v>0</v>
      </c>
      <c r="AJ17" s="120">
        <f>COUNTIF(ParticipationSeptembre1621222324283031[[#This Row],[fecha de nacimiento]:[30]],Code2)</f>
        <v>0</v>
      </c>
      <c r="AK17" s="120">
        <f>COUNTIF(ParticipationSeptembre1621222324283031[[#This Row],[fecha de nacimiento]:[30]],Code3)</f>
        <v>0</v>
      </c>
      <c r="AL17" s="120">
        <f>COUNTIF(ParticipationSeptembre1621222324283031[[#This Row],[fecha de nacimiento]:[30]],Code4)</f>
        <v>0</v>
      </c>
      <c r="AM17" s="12">
        <f>SUM(ParticipationSeptembre1621222324283031[[#This Row],[E]:[N1]])</f>
        <v>0</v>
      </c>
    </row>
    <row r="18" spans="2:39" ht="16.5" customHeight="1">
      <c r="B18" s="104"/>
      <c r="C18" s="105" t="s">
        <v>78</v>
      </c>
      <c r="D18" s="107">
        <f>COUNTIF(ParticipationSeptembre1621222324283031[fecha de nacimiento],"N1")+COUNTIF(ParticipationSeptembre1621222324283031[fecha de nacimiento],"E")</f>
        <v>0</v>
      </c>
      <c r="E18" s="107">
        <f>COUNTIF(ParticipationSeptembre1621222324283031[29],"N1")+COUNTIF(ParticipationSeptembre1621222324283031[29],"E")</f>
        <v>0</v>
      </c>
      <c r="F18" s="107">
        <f>COUNTIF(ParticipationSeptembre1621222324283031[6],"N1")+COUNTIF(ParticipationSeptembre1621222324283031[6],"E")</f>
        <v>0</v>
      </c>
      <c r="G18" s="107">
        <f>COUNTIF(ParticipationSeptembre1621222324283031[13],"N1")+COUNTIF(ParticipationSeptembre1621222324283031[13],"E")</f>
        <v>0</v>
      </c>
      <c r="H18" s="107">
        <f>COUNTIF(ParticipationSeptembre1621222324283031[20],"N1")+COUNTIF(ParticipationSeptembre1621222324283031[20],"E")</f>
        <v>0</v>
      </c>
      <c r="I18" s="107">
        <f>COUNTIF(ParticipationSeptembre1621222324283031[27],"N1")+COUNTIF(ParticipationSeptembre1621222324283031[27],"E")</f>
        <v>0</v>
      </c>
      <c r="J18" s="107">
        <f>COUNTIF(ParticipationSeptembre1621222324283031[3],"N1")+COUNTIF(ParticipationSeptembre1621222324283031[3],"E")</f>
        <v>0</v>
      </c>
      <c r="K18" s="107">
        <f>COUNTIF(ParticipationSeptembre1621222324283031[10],"N1")+COUNTIF(ParticipationSeptembre1621222324283031[10],"E")</f>
        <v>0</v>
      </c>
      <c r="L18" s="107">
        <f>COUNTIF(ParticipationSeptembre1621222324283031[17],"N1")+COUNTIF(ParticipationSeptembre1621222324283031[17],"E")</f>
        <v>0</v>
      </c>
      <c r="M18" s="107">
        <f>COUNTIF(ParticipationSeptembre1621222324283031[24],"N1")+COUNTIF(ParticipationSeptembre1621222324283031[24],"E")</f>
        <v>0</v>
      </c>
      <c r="N18" s="107">
        <f>COUNTIF(ParticipationSeptembre1621222324283031[14],"N1")+COUNTIF(ParticipationSeptembre1621222324283031[14],"E")</f>
        <v>0</v>
      </c>
      <c r="O18" s="107">
        <f>COUNTIF(ParticipationSeptembre1621222324283031[8],"N1")+COUNTIF(ParticipationSeptembre1621222324283031[8],"E")</f>
        <v>0</v>
      </c>
      <c r="P18" s="107">
        <f>COUNTIF(ParticipationSeptembre1621222324283031[15],"N1")+COUNTIF(ParticipationSeptembre1621222324283031[15],"E")</f>
        <v>0</v>
      </c>
      <c r="Q18" s="107">
        <f>COUNTIF(ParticipationSeptembre1621222324283031[12],"N1")+COUNTIF(ParticipationSeptembre1621222324283031[12],"E")</f>
        <v>0</v>
      </c>
      <c r="R18" s="107">
        <f>COUNTIF(ParticipationSeptembre1621222324283031[19],"N1")+COUNTIF(ParticipationSeptembre1621222324283031[19],"E")</f>
        <v>0</v>
      </c>
      <c r="S18" s="107">
        <f>COUNTIF(ParticipationSeptembre1621222324283031[26],"N1")+COUNTIF(ParticipationSeptembre1621222324283031[26],"E")</f>
        <v>0</v>
      </c>
      <c r="T18" s="107">
        <f>COUNTIF(ParticipationSeptembre1621222324283031[2],"N1")+COUNTIF(ParticipationSeptembre1621222324283031[2],"E")</f>
        <v>0</v>
      </c>
      <c r="U18" s="107">
        <f>COUNTIF(ParticipationSeptembre1621222324283031[9],"N1")+COUNTIF(ParticipationSeptembre1621222324283031[9],"E")</f>
        <v>0</v>
      </c>
      <c r="V18" s="107">
        <f>COUNTIF(ParticipationSeptembre1621222324283031[16],"N1")+COUNTIF(ParticipationSeptembre1621222324283031[16],"E")</f>
        <v>0</v>
      </c>
      <c r="W18" s="107">
        <f>COUNTIF(ParticipationSeptembre1621222324283031[23],"N1")+COUNTIF(ParticipationSeptembre1621222324283031[23],"E")</f>
        <v>0</v>
      </c>
      <c r="X18" s="107">
        <f>COUNTIF(ParticipationSeptembre1621222324283031[*8],"N1")+COUNTIF(ParticipationSeptembre1621222324283031[*8],"E")</f>
        <v>0</v>
      </c>
      <c r="Y18" s="107">
        <f>COUNTIF(ParticipationSeptembre1621222324283031[*15],"N1")+COUNTIF(ParticipationSeptembre1621222324283031[*15],"E")</f>
        <v>0</v>
      </c>
      <c r="Z18" s="107">
        <f>COUNTIF(ParticipationSeptembre1621222324283031[22],"N1")+COUNTIF(ParticipationSeptembre1621222324283031[22],"E")</f>
        <v>0</v>
      </c>
      <c r="AA18" s="107">
        <f>COUNTIF(ParticipationSeptembre1621222324283031[*29],"N1")+COUNTIF(ParticipationSeptembre1621222324283031[*29],"E")</f>
        <v>0</v>
      </c>
      <c r="AB18" s="107">
        <f>COUNTIF(ParticipationSeptembre1621222324283031[*19],"N1")+COUNTIF(ParticipationSeptembre1621222324283031[*19],"E")</f>
        <v>0</v>
      </c>
      <c r="AC18" s="107">
        <f>COUNTIF(ParticipationSeptembre1621222324283031[*26],"N1")+COUNTIF(ParticipationSeptembre1621222324283031[*26],"E")</f>
        <v>0</v>
      </c>
      <c r="AD18" s="107">
        <f>COUNTIF(ParticipationSeptembre1621222324283031[*3],"N1")+COUNTIF(ParticipationSeptembre1621222324283031[*3],"E")</f>
        <v>0</v>
      </c>
      <c r="AE18" s="107">
        <f>COUNTIF(ParticipationSeptembre1621222324283031[*10],"N1")+COUNTIF(ParticipationSeptembre1621222324283031[*10],"E")</f>
        <v>0</v>
      </c>
      <c r="AF18" s="107">
        <f>COUNTIF(ParticipationSeptembre1621222324283031[*17],"N1")+COUNTIF(ParticipationSeptembre1621222324283031[*17],"E")</f>
        <v>0</v>
      </c>
      <c r="AG18" s="107">
        <f>COUNTIF(ParticipationSeptembre1621222324283031[*24],"N1")+COUNTIF(ParticipationSeptembre1621222324283031[*24],"E")</f>
        <v>0</v>
      </c>
      <c r="AH18" s="107">
        <f>COUNTIF(ParticipationSeptembre1621222324283031[30],"N1")+COUNTIF(ParticipationSeptembre1621222324283031[30],"E")</f>
        <v>0</v>
      </c>
      <c r="AI18" s="107">
        <f>SUBTOTAL(109,ParticipationSeptembre1621222324283031[R])</f>
        <v>0</v>
      </c>
      <c r="AJ18" s="107">
        <f>SUBTOTAL(109,ParticipationSeptembre1621222324283031[E])</f>
        <v>0</v>
      </c>
      <c r="AK18" s="107">
        <f>SUBTOTAL(109,ParticipationSeptembre1621222324283031[N1])</f>
        <v>0</v>
      </c>
      <c r="AL18" s="107">
        <f>SUBTOTAL(109,ParticipationSeptembre1621222324283031[P])</f>
        <v>0</v>
      </c>
      <c r="AM18" s="106"/>
    </row>
    <row r="19" spans="2:39" ht="16.5" customHeight="1"/>
    <row r="20" spans="2:39" ht="16.5" customHeight="1"/>
    <row r="21" spans="2:39" ht="16.5" customHeight="1"/>
    <row r="22" spans="2:39" ht="16.5" customHeight="1"/>
    <row r="23" spans="2:39" ht="16.5" customHeight="1"/>
    <row r="24" spans="2:39" ht="16.5" customHeight="1"/>
    <row r="25" spans="2:39" ht="16.5" customHeight="1"/>
    <row r="26" spans="2:39" ht="16.5" customHeight="1"/>
    <row r="27" spans="2:39" ht="16.5" customHeight="1"/>
    <row r="28" spans="2:39" ht="16.5" customHeight="1"/>
    <row r="29" spans="2:39" ht="16.5" customHeight="1"/>
    <row r="30" spans="2:39" ht="16.5" customHeight="1"/>
    <row r="31" spans="2:39" ht="16.5" customHeight="1"/>
    <row r="32" spans="2:39"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sheetData>
  <sheetProtection formatCells="0" formatColumns="0" formatRows="0" insertColumns="0" insertRows="0" insertHyperlinks="0" deleteColumns="0" deleteRows="0" sort="0" autoFilter="0" pivotTables="0"/>
  <mergeCells count="1">
    <mergeCell ref="AI5:AM5"/>
  </mergeCells>
  <conditionalFormatting sqref="AM7:AM17">
    <cfRule type="dataBar" priority="16">
      <dataBar>
        <cfvo type="min"/>
        <cfvo type="num" val="31"/>
        <color theme="4"/>
      </dataBar>
      <extLst>
        <ext xmlns:x14="http://schemas.microsoft.com/office/spreadsheetml/2009/9/main" uri="{B025F937-C7B1-47D3-B67F-A62EFF666E3E}">
          <x14:id>{7AB16902-99CB-427C-9011-0C0CB2C6F851}</x14:id>
        </ext>
      </extLst>
    </cfRule>
  </conditionalFormatting>
  <conditionalFormatting sqref="AG7:AI17">
    <cfRule type="expression" dxfId="113" priority="17" stopIfTrue="1">
      <formula>AG7=Code2</formula>
    </cfRule>
  </conditionalFormatting>
  <conditionalFormatting sqref="AG7:AH17">
    <cfRule type="expression" dxfId="112" priority="18" stopIfTrue="1">
      <formula>AG7=Code5</formula>
    </cfRule>
    <cfRule type="expression" dxfId="111" priority="19" stopIfTrue="1">
      <formula>AG7=Code4</formula>
    </cfRule>
    <cfRule type="expression" dxfId="110" priority="20" stopIfTrue="1">
      <formula>AG7=Code3</formula>
    </cfRule>
    <cfRule type="expression" dxfId="109" priority="21" stopIfTrue="1">
      <formula>AG7=Code1</formula>
    </cfRule>
  </conditionalFormatting>
  <conditionalFormatting sqref="D7:AF12 D15:AF15 E13:AF14">
    <cfRule type="expression" dxfId="108" priority="11" stopIfTrue="1">
      <formula>D7=Code2</formula>
    </cfRule>
  </conditionalFormatting>
  <conditionalFormatting sqref="D7:AF12 D15:AF15 E13:AF14">
    <cfRule type="expression" dxfId="107" priority="12" stopIfTrue="1">
      <formula>D7=Code5</formula>
    </cfRule>
    <cfRule type="expression" dxfId="106" priority="13" stopIfTrue="1">
      <formula>D7=Code4</formula>
    </cfRule>
    <cfRule type="expression" dxfId="105" priority="14" stopIfTrue="1">
      <formula>D7=Code3</formula>
    </cfRule>
    <cfRule type="expression" dxfId="104" priority="15" stopIfTrue="1">
      <formula>D7=Code1</formula>
    </cfRule>
  </conditionalFormatting>
  <conditionalFormatting sqref="D13">
    <cfRule type="expression" dxfId="103" priority="6" stopIfTrue="1">
      <formula>D13=Code2</formula>
    </cfRule>
  </conditionalFormatting>
  <conditionalFormatting sqref="D13">
    <cfRule type="expression" dxfId="102" priority="7" stopIfTrue="1">
      <formula>D13=Code5</formula>
    </cfRule>
    <cfRule type="expression" dxfId="101" priority="8" stopIfTrue="1">
      <formula>D13=Code4</formula>
    </cfRule>
    <cfRule type="expression" dxfId="100" priority="9" stopIfTrue="1">
      <formula>D13=Code3</formula>
    </cfRule>
    <cfRule type="expression" dxfId="99" priority="10" stopIfTrue="1">
      <formula>D13=Code1</formula>
    </cfRule>
  </conditionalFormatting>
  <conditionalFormatting sqref="D14">
    <cfRule type="expression" dxfId="98" priority="1" stopIfTrue="1">
      <formula>D14=Code2</formula>
    </cfRule>
  </conditionalFormatting>
  <conditionalFormatting sqref="D14">
    <cfRule type="expression" dxfId="97" priority="2" stopIfTrue="1">
      <formula>D14=Code5</formula>
    </cfRule>
    <cfRule type="expression" dxfId="96" priority="3" stopIfTrue="1">
      <formula>D14=Code4</formula>
    </cfRule>
    <cfRule type="expression" dxfId="95" priority="4" stopIfTrue="1">
      <formula>D14=Code3</formula>
    </cfRule>
    <cfRule type="expression" dxfId="94" priority="5" stopIfTrue="1">
      <formula>D14=Code1</formula>
    </cfRule>
  </conditionalFormatting>
  <dataValidations count="1">
    <dataValidation type="list" errorStyle="warning" allowBlank="1" showInputMessage="1" showErrorMessage="1" errorTitle="Whoops!" error="The Student ID you entered isn't on the Student List sheet. You can click Yes to use what you entered but that Student ID won't be available on the Student Attendance Report sheet." sqref="B7:B17">
      <formula1>IDÉtudiant</formula1>
    </dataValidation>
  </dataValidations>
  <printOptions horizontalCentered="1"/>
  <pageMargins left="0.51181102362204722" right="0.51181102362204722" top="0.74803149606299213" bottom="0.74803149606299213" header="0.31496062992125984" footer="0.31496062992125984"/>
  <pageSetup paperSize="5" scale="72" fitToHeight="0" orientation="landscape" r:id="rId1"/>
  <headerFooter>
    <oddHeader>&amp;CMisión Santa Teresa de Avila
Lista de presencia de los grupos de catequesis
2019-2020</oddHeader>
  </headerFooter>
  <ignoredErrors>
    <ignoredError sqref="B7:D12" listDataValidation="1"/>
  </ignoredError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AB16902-99CB-427C-9011-0C0CB2C6F851}">
            <x14:dataBar minLength="0" maxLength="100" border="1" negativeBarBorderColorSameAsPositive="0">
              <x14:cfvo type="autoMin"/>
              <x14:cfvo type="num">
                <xm:f>31</xm:f>
              </x14:cfvo>
              <x14:borderColor theme="4"/>
              <x14:negativeFillColor rgb="FFFF0000"/>
              <x14:negativeBorderColor rgb="FFFF0000"/>
              <x14:axisColor rgb="FF000000"/>
            </x14:dataBar>
          </x14:cfRule>
          <xm:sqref>AM7:AM17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irectSourceMarket xmlns="6d93d202-47fc-4405-873a-cab67cc5f1b2">english</DirectSourceMarket>
    <ApprovalStatus xmlns="6d93d202-47fc-4405-873a-cab67cc5f1b2">InProgress</ApprovalStatus>
    <MarketSpecific xmlns="6d93d202-47fc-4405-873a-cab67cc5f1b2">false</MarketSpecific>
    <LocComments xmlns="6d93d202-47fc-4405-873a-cab67cc5f1b2" xsi:nil="true"/>
    <ThumbnailAssetId xmlns="6d93d202-47fc-4405-873a-cab67cc5f1b2" xsi:nil="true"/>
    <PrimaryImageGen xmlns="6d93d202-47fc-4405-873a-cab67cc5f1b2">true</PrimaryImageGen>
    <LegacyData xmlns="6d93d202-47fc-4405-873a-cab67cc5f1b2" xsi:nil="true"/>
    <LocRecommendedHandoff xmlns="6d93d202-47fc-4405-873a-cab67cc5f1b2" xsi:nil="true"/>
    <BusinessGroup xmlns="6d93d202-47fc-4405-873a-cab67cc5f1b2" xsi:nil="true"/>
    <BlockPublish xmlns="6d93d202-47fc-4405-873a-cab67cc5f1b2">false</BlockPublish>
    <TPFriendlyName xmlns="6d93d202-47fc-4405-873a-cab67cc5f1b2" xsi:nil="true"/>
    <NumericId xmlns="6d93d202-47fc-4405-873a-cab67cc5f1b2" xsi:nil="true"/>
    <APEditor xmlns="6d93d202-47fc-4405-873a-cab67cc5f1b2">
      <UserInfo>
        <DisplayName/>
        <AccountId xsi:nil="true"/>
        <AccountType/>
      </UserInfo>
    </APEditor>
    <SourceTitle xmlns="6d93d202-47fc-4405-873a-cab67cc5f1b2" xsi:nil="true"/>
    <OpenTemplate xmlns="6d93d202-47fc-4405-873a-cab67cc5f1b2">true</OpenTemplate>
    <UALocComments xmlns="6d93d202-47fc-4405-873a-cab67cc5f1b2" xsi:nil="true"/>
    <ParentAssetId xmlns="6d93d202-47fc-4405-873a-cab67cc5f1b2" xsi:nil="true"/>
    <IntlLangReviewDate xmlns="6d93d202-47fc-4405-873a-cab67cc5f1b2" xsi:nil="true"/>
    <FeatureTagsTaxHTField0 xmlns="6d93d202-47fc-4405-873a-cab67cc5f1b2">
      <Terms xmlns="http://schemas.microsoft.com/office/infopath/2007/PartnerControls"/>
    </FeatureTagsTaxHTField0>
    <PublishStatusLookup xmlns="6d93d202-47fc-4405-873a-cab67cc5f1b2">
      <Value>464431</Value>
    </PublishStatusLookup>
    <Providers xmlns="6d93d202-47fc-4405-873a-cab67cc5f1b2" xsi:nil="true"/>
    <MachineTranslated xmlns="6d93d202-47fc-4405-873a-cab67cc5f1b2">false</MachineTranslated>
    <OriginalSourceMarket xmlns="6d93d202-47fc-4405-873a-cab67cc5f1b2">english</OriginalSourceMarket>
    <APDescription xmlns="6d93d202-47fc-4405-873a-cab67cc5f1b2">Teachers can use this handy template to track the attendance of all their students by month and year. Detailed instructions are included.
</APDescription>
    <ClipArtFilename xmlns="6d93d202-47fc-4405-873a-cab67cc5f1b2" xsi:nil="true"/>
    <ContentItem xmlns="6d93d202-47fc-4405-873a-cab67cc5f1b2" xsi:nil="true"/>
    <TPInstallLocation xmlns="6d93d202-47fc-4405-873a-cab67cc5f1b2" xsi:nil="true"/>
    <PublishTargets xmlns="6d93d202-47fc-4405-873a-cab67cc5f1b2">OfficeOnlineVNext</PublishTargets>
    <TimesCloned xmlns="6d93d202-47fc-4405-873a-cab67cc5f1b2" xsi:nil="true"/>
    <AssetStart xmlns="6d93d202-47fc-4405-873a-cab67cc5f1b2">2019-09-24T19:32:00-04:00</AssetStart>
    <Provider xmlns="6d93d202-47fc-4405-873a-cab67cc5f1b2" xsi:nil="true"/>
    <AcquiredFrom xmlns="6d93d202-47fc-4405-873a-cab67cc5f1b2">Internal MS</AcquiredFrom>
    <FriendlyTitle xmlns="6d93d202-47fc-4405-873a-cab67cc5f1b2" xsi:nil="true"/>
    <LastHandOff xmlns="6d93d202-47fc-4405-873a-cab67cc5f1b2" xsi:nil="true"/>
    <TPClientViewer xmlns="6d93d202-47fc-4405-873a-cab67cc5f1b2" xsi:nil="true"/>
    <UACurrentWords xmlns="6d93d202-47fc-4405-873a-cab67cc5f1b2" xsi:nil="true"/>
    <ArtSampleDocs xmlns="6d93d202-47fc-4405-873a-cab67cc5f1b2" xsi:nil="true"/>
    <UALocRecommendation xmlns="6d93d202-47fc-4405-873a-cab67cc5f1b2">Localize</UALocRecommendation>
    <Manager xmlns="6d93d202-47fc-4405-873a-cab67cc5f1b2" xsi:nil="true"/>
    <ShowIn xmlns="6d93d202-47fc-4405-873a-cab67cc5f1b2">Show everywhere</ShowIn>
    <UANotes xmlns="6d93d202-47fc-4405-873a-cab67cc5f1b2" xsi:nil="true"/>
    <TemplateStatus xmlns="6d93d202-47fc-4405-873a-cab67cc5f1b2">Complete</TemplateStatus>
    <InternalTagsTaxHTField0 xmlns="6d93d202-47fc-4405-873a-cab67cc5f1b2">
      <Terms xmlns="http://schemas.microsoft.com/office/infopath/2007/PartnerControls"/>
    </InternalTagsTaxHTField0>
    <CSXHash xmlns="6d93d202-47fc-4405-873a-cab67cc5f1b2" xsi:nil="true"/>
    <Downloads xmlns="6d93d202-47fc-4405-873a-cab67cc5f1b2">0</Downloads>
    <VoteCount xmlns="6d93d202-47fc-4405-873a-cab67cc5f1b2" xsi:nil="true"/>
    <OOCacheId xmlns="6d93d202-47fc-4405-873a-cab67cc5f1b2" xsi:nil="true"/>
    <IsDeleted xmlns="6d93d202-47fc-4405-873a-cab67cc5f1b2">false</IsDeleted>
    <AssetExpire xmlns="6d93d202-47fc-4405-873a-cab67cc5f1b2">2035-01-01T08:00:00+00:00</AssetExpire>
    <DSATActionTaken xmlns="6d93d202-47fc-4405-873a-cab67cc5f1b2" xsi:nil="true"/>
    <CSXSubmissionMarket xmlns="6d93d202-47fc-4405-873a-cab67cc5f1b2" xsi:nil="true"/>
    <TPExecutable xmlns="6d93d202-47fc-4405-873a-cab67cc5f1b2" xsi:nil="true"/>
    <SubmitterId xmlns="6d93d202-47fc-4405-873a-cab67cc5f1b2" xsi:nil="true"/>
    <EditorialTags xmlns="6d93d202-47fc-4405-873a-cab67cc5f1b2" xsi:nil="true"/>
    <ApprovalLog xmlns="6d93d202-47fc-4405-873a-cab67cc5f1b2" xsi:nil="true"/>
    <AssetType xmlns="6d93d202-47fc-4405-873a-cab67cc5f1b2">TP</AssetType>
    <BugNumber xmlns="6d93d202-47fc-4405-873a-cab67cc5f1b2" xsi:nil="true"/>
    <CSXSubmissionDate xmlns="6d93d202-47fc-4405-873a-cab67cc5f1b2" xsi:nil="true"/>
    <CSXUpdate xmlns="6d93d202-47fc-4405-873a-cab67cc5f1b2">false</CSXUpdate>
    <Milestone xmlns="6d93d202-47fc-4405-873a-cab67cc5f1b2" xsi:nil="true"/>
    <RecommendationsModifier xmlns="6d93d202-47fc-4405-873a-cab67cc5f1b2" xsi:nil="true"/>
    <OriginAsset xmlns="6d93d202-47fc-4405-873a-cab67cc5f1b2" xsi:nil="true"/>
    <TPComponent xmlns="6d93d202-47fc-4405-873a-cab67cc5f1b2" xsi:nil="true"/>
    <AssetId xmlns="6d93d202-47fc-4405-873a-cab67cc5f1b2">TP102802368</AssetId>
    <IntlLocPriority xmlns="6d93d202-47fc-4405-873a-cab67cc5f1b2" xsi:nil="true"/>
    <PolicheckWords xmlns="6d93d202-47fc-4405-873a-cab67cc5f1b2" xsi:nil="true"/>
    <TPLaunchHelpLink xmlns="6d93d202-47fc-4405-873a-cab67cc5f1b2" xsi:nil="true"/>
    <TPApplication xmlns="6d93d202-47fc-4405-873a-cab67cc5f1b2" xsi:nil="true"/>
    <CrawlForDependencies xmlns="6d93d202-47fc-4405-873a-cab67cc5f1b2">false</CrawlForDependencies>
    <HandoffToMSDN xmlns="6d93d202-47fc-4405-873a-cab67cc5f1b2" xsi:nil="true"/>
    <PlannedPubDate xmlns="6d93d202-47fc-4405-873a-cab67cc5f1b2" xsi:nil="true"/>
    <IntlLangReviewer xmlns="6d93d202-47fc-4405-873a-cab67cc5f1b2" xsi:nil="true"/>
    <TrustLevel xmlns="6d93d202-47fc-4405-873a-cab67cc5f1b2">1 Microsoft Managed Content</TrustLevel>
    <LocLastLocAttemptVersionLookup xmlns="6d93d202-47fc-4405-873a-cab67cc5f1b2">712809</LocLastLocAttemptVersionLookup>
    <IsSearchable xmlns="6d93d202-47fc-4405-873a-cab67cc5f1b2">true</IsSearchable>
    <TemplateTemplateType xmlns="6d93d202-47fc-4405-873a-cab67cc5f1b2">Excel 2007 Default</TemplateTemplateType>
    <CampaignTagsTaxHTField0 xmlns="6d93d202-47fc-4405-873a-cab67cc5f1b2">
      <Terms xmlns="http://schemas.microsoft.com/office/infopath/2007/PartnerControls"/>
    </CampaignTagsTaxHTField0>
    <TPNamespace xmlns="6d93d202-47fc-4405-873a-cab67cc5f1b2" xsi:nil="true"/>
    <TaxCatchAll xmlns="6d93d202-47fc-4405-873a-cab67cc5f1b2"/>
    <Markets xmlns="6d93d202-47fc-4405-873a-cab67cc5f1b2"/>
    <UAProjectedTotalWords xmlns="6d93d202-47fc-4405-873a-cab67cc5f1b2" xsi:nil="true"/>
    <IntlLangReview xmlns="6d93d202-47fc-4405-873a-cab67cc5f1b2">false</IntlLangReview>
    <OutputCachingOn xmlns="6d93d202-47fc-4405-873a-cab67cc5f1b2">false</OutputCachingOn>
    <AverageRating xmlns="6d93d202-47fc-4405-873a-cab67cc5f1b2" xsi:nil="true"/>
    <APAuthor xmlns="6d93d202-47fc-4405-873a-cab67cc5f1b2">
      <UserInfo>
        <DisplayName>REDMOND\v-aptall</DisplayName>
        <AccountId>2566</AccountId>
        <AccountType/>
      </UserInfo>
    </APAuthor>
    <LocManualTestRequired xmlns="6d93d202-47fc-4405-873a-cab67cc5f1b2">false</LocManualTestRequired>
    <TPCommandLine xmlns="6d93d202-47fc-4405-873a-cab67cc5f1b2" xsi:nil="true"/>
    <TPAppVersion xmlns="6d93d202-47fc-4405-873a-cab67cc5f1b2" xsi:nil="true"/>
    <EditorialStatus xmlns="6d93d202-47fc-4405-873a-cab67cc5f1b2">Complete</EditorialStatus>
    <LastModifiedDateTime xmlns="6d93d202-47fc-4405-873a-cab67cc5f1b2" xsi:nil="true"/>
    <ScenarioTagsTaxHTField0 xmlns="6d93d202-47fc-4405-873a-cab67cc5f1b2">
      <Terms xmlns="http://schemas.microsoft.com/office/infopath/2007/PartnerControls"/>
    </ScenarioTagsTaxHTField0>
    <OriginalRelease xmlns="6d93d202-47fc-4405-873a-cab67cc5f1b2">14</OriginalRelease>
    <TPLaunchHelpLinkType xmlns="6d93d202-47fc-4405-873a-cab67cc5f1b2">Template</TPLaunchHelpLinkType>
    <LocalizationTagsTaxHTField0 xmlns="6d93d202-47fc-4405-873a-cab67cc5f1b2">
      <Terms xmlns="http://schemas.microsoft.com/office/infopath/2007/PartnerControls"/>
    </LocalizationTagsTaxHTField0>
    <Component xmlns="64acb2c5-0a2b-4bda-bd34-58e36cbb80d2" xsi:nil="true"/>
    <LocMarketGroupTiers2 xmlns="6d93d202-47fc-4405-873a-cab67cc5f1b2" xsi:nil="true"/>
    <Description0 xmlns="64acb2c5-0a2b-4bda-bd34-58e36cbb80d2" xsi:nil="true"/>
  </documentManagement>
</p:properties>
</file>

<file path=customXml/item2.xml><?xml version="1.0" encoding="utf-8"?>
<?mso-contentType ?>
<FormTemplates xmlns="http://schemas.microsoft.com/sharepoint/v3/contenttype/forms">
  <Display>DocumentLibraryForm</Display>
  <Edit>AssetEditForm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TemplateFile" ma:contentTypeID="0x01010069924D1ECC420D47A2456556BC94F7370400BDF4491DEA4973499845289601F88B9F" ma:contentTypeVersion="55" ma:contentTypeDescription="Create a new document." ma:contentTypeScope="" ma:versionID="41eb558a2b826e6e4f9defd990175bec">
  <xsd:schema xmlns:xsd="http://www.w3.org/2001/XMLSchema" xmlns:xs="http://www.w3.org/2001/XMLSchema" xmlns:p="http://schemas.microsoft.com/office/2006/metadata/properties" xmlns:ns2="6d93d202-47fc-4405-873a-cab67cc5f1b2" xmlns:ns3="64acb2c5-0a2b-4bda-bd34-58e36cbb80d2" targetNamespace="http://schemas.microsoft.com/office/2006/metadata/properties" ma:root="true" ma:fieldsID="19deea0185cf7bc57eee9b90b1ba2ace" ns2:_="" ns3:_="">
    <xsd:import namespace="6d93d202-47fc-4405-873a-cab67cc5f1b2"/>
    <xsd:import namespace="64acb2c5-0a2b-4bda-bd34-58e36cbb80d2"/>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AverageRating"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element ref="ns3:Description0" minOccurs="0"/>
                <xsd:element ref="ns3:Compon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93d202-47fc-4405-873a-cab67cc5f1b2"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verageRating" ma:index="12" nillable="true" ma:displayName="Average Rating" ma:internalName="AverageRating" ma:readOnly="false">
      <xsd:simpleType>
        <xsd:restriction base="dms:Text"/>
      </xsd:simpleType>
    </xsd:element>
    <xsd:element name="BlockPublish" ma:index="13" nillable="true" ma:displayName="Block from Publishing?" ma:default="" ma:internalName="BlockPublish" ma:readOnly="false">
      <xsd:simpleType>
        <xsd:restriction base="dms:Boolean"/>
      </xsd:simpleType>
    </xsd:element>
    <xsd:element name="BugNumber" ma:index="14" nillable="true" ma:displayName="Bug Number" ma:default="" ma:internalName="BugNumber" ma:readOnly="false">
      <xsd:simpleType>
        <xsd:restriction base="dms:Text"/>
      </xsd:simpleType>
    </xsd:element>
    <xsd:element name="CampaignTagsTaxHTField0" ma:index="16" nillable="true" ma:taxonomy="true" ma:internalName="CampaignTagsTaxHTField0" ma:taxonomyFieldName="CampaignTags" ma:displayName="Campaigns" ma:readOnly="false" ma:default="" ma:fieldId="{dc79c007-7f28-4db9-9ba1-525d19a3279b}"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7" nillable="true" ma:displayName="Client Viewer" ma:default="" ma:internalName="TPClientViewer">
      <xsd:simpleType>
        <xsd:restriction base="dms:Text"/>
      </xsd:simpleType>
    </xsd:element>
    <xsd:element name="ClipArtFilename" ma:index="18" nillable="true" ma:displayName="Clip Art Name" ma:default="" ma:internalName="ClipArtFilename" ma:readOnly="false">
      <xsd:simpleType>
        <xsd:restriction base="dms:Text"/>
      </xsd:simpleType>
    </xsd:element>
    <xsd:element name="TPCommandLine" ma:index="19" nillable="true" ma:displayName="Command Line" ma:default="" ma:internalName="TPCommandLine">
      <xsd:simpleType>
        <xsd:restriction base="dms:Text"/>
      </xsd:simpleType>
    </xsd:element>
    <xsd:element name="TPComponent" ma:index="20" nillable="true" ma:displayName="Component" ma:default="" ma:internalName="TPComponent">
      <xsd:simpleType>
        <xsd:restriction base="dms:Text"/>
      </xsd:simpleType>
    </xsd:element>
    <xsd:element name="ContentItem" ma:index="21" nillable="true" ma:displayName="Content Item" ma:default="" ma:hidden="true" ma:internalName="ContentItem" ma:readOnly="false">
      <xsd:simpleType>
        <xsd:restriction base="dms:Unknown"/>
      </xsd:simpleType>
    </xsd:element>
    <xsd:element name="CrawlForDependencies" ma:index="23" nillable="true" ma:displayName="Crawl for Dependencies?" ma:default="true" ma:internalName="CrawlForDependencies" ma:readOnly="false">
      <xsd:simpleType>
        <xsd:restriction base="dms:Boolean"/>
      </xsd:simpleType>
    </xsd:element>
    <xsd:element name="CSXHash" ma:index="26" nillable="true" ma:displayName="CSX Hash" ma:default="" ma:indexed="true" ma:internalName="CSXHash" ma:readOnly="false">
      <xsd:simpleType>
        <xsd:restriction base="dms:Text"/>
      </xsd:simpleType>
    </xsd:element>
    <xsd:element name="CSXSubmissionMarket" ma:index="27" nillable="true" ma:displayName="CSX Submission Market" ma:default="" ma:list="{80C6DD30-196A-4C6B-B1BF-A43F3B8ACD4F}" ma:internalName="CSXSubmissionMarket" ma:readOnly="false" ma:showField="MarketName" ma:web="6d93d202-47fc-4405-873a-cab67cc5f1b2">
      <xsd:simpleType>
        <xsd:restriction base="dms:Lookup"/>
      </xsd:simpleType>
    </xsd:element>
    <xsd:element name="CSXUpdate" ma:index="28" nillable="true" ma:displayName="CSX Updated?" ma:default="false" ma:internalName="CSXUpdate" ma:readOnly="false">
      <xsd:simpleType>
        <xsd:restriction base="dms:Boolean"/>
      </xsd:simpleType>
    </xsd:element>
    <xsd:element name="IntlLangReviewDate" ma:index="29" nillable="true" ma:displayName="Date to Complete Intl QA" ma:default="" ma:internalName="IntlLangReviewDate" ma:readOnly="false">
      <xsd:simpleType>
        <xsd:restriction base="dms:DateTime"/>
      </xsd:simpleType>
    </xsd:element>
    <xsd:element name="IsDeleted" ma:index="30" nillable="true" ma:displayName="Deleted?" ma:default="" ma:internalName="IsDeleted" ma:readOnly="false">
      <xsd:simpleType>
        <xsd:restriction base="dms:Boolean"/>
      </xsd:simpleType>
    </xsd:element>
    <xsd:element name="APDescription" ma:index="31" nillable="true" ma:displayName="Description" ma:default="" ma:internalName="APDescription" ma:readOnly="false">
      <xsd:simpleType>
        <xsd:restriction base="dms:Note"/>
      </xsd:simpleType>
    </xsd:element>
    <xsd:element name="DirectSourceMarket" ma:index="32" nillable="true" ma:displayName="Direct Source Market Group" ma:default="" ma:internalName="DirectSourceMarket" ma:readOnly="false">
      <xsd:simpleType>
        <xsd:restriction base="dms:Text"/>
      </xsd:simpleType>
    </xsd:element>
    <xsd:element name="Downloads" ma:index="33" nillable="true" ma:displayName="Downloads" ma:default="0" ma:hidden="true" ma:internalName="Downloads" ma:readOnly="false">
      <xsd:simpleType>
        <xsd:restriction base="dms:Unknown"/>
      </xsd:simpleType>
    </xsd:element>
    <xsd:element name="DSATActionTaken" ma:index="34"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5"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6" nillable="true" ma:displayName="Editorial Status" ma:default="" ma:internalName="EditorialStatus" ma:readOnly="false">
      <xsd:simpleType>
        <xsd:restriction base="dms:Unknown"/>
      </xsd:simpleType>
    </xsd:element>
    <xsd:element name="EditorialTags" ma:index="37" nillable="true" ma:displayName="Editorial Tags" ma:default="" ma:internalName="EditorialTags">
      <xsd:simpleType>
        <xsd:restriction base="dms:Unknown"/>
      </xsd:simpleType>
    </xsd:element>
    <xsd:element name="TPExecutable" ma:index="38" nillable="true" ma:displayName="Executable" ma:default="" ma:internalName="TPExecutable">
      <xsd:simpleType>
        <xsd:restriction base="dms:Text"/>
      </xsd:simpleType>
    </xsd:element>
    <xsd:element name="FeatureTagsTaxHTField0" ma:index="40" nillable="true" ma:taxonomy="true" ma:internalName="FeatureTagsTaxHTField0" ma:taxonomyFieldName="FeatureTags" ma:displayName="Features" ma:readOnly="false" ma:default="" ma:fieldId="{bb16b974-ed24-4278-8820-8e232d38904b}"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1" nillable="true" ma:displayName="Friendly Name" ma:default="" ma:internalName="TPFriendlyName">
      <xsd:simpleType>
        <xsd:restriction base="dms:Text"/>
      </xsd:simpleType>
    </xsd:element>
    <xsd:element name="FriendlyTitle" ma:index="42" nillable="true" ma:displayName="Friendly Title" ma:default="" ma:description="Shorter title to be used when displaying search results" ma:internalName="FriendlyTitle" ma:readOnly="false">
      <xsd:simpleType>
        <xsd:restriction base="dms:Text"/>
      </xsd:simpleType>
    </xsd:element>
    <xsd:element name="PrimaryImageGen" ma:index="43" nillable="true" ma:displayName="Generate Images?" ma:default="true" ma:internalName="PrimaryImageGen">
      <xsd:simpleType>
        <xsd:restriction base="dms:Boolean"/>
      </xsd:simpleType>
    </xsd:element>
    <xsd:element name="HandoffToMSDN" ma:index="44" nillable="true" ma:displayName="Handoff To MSDN Date" ma:default="" ma:internalName="HandoffToMSDN" ma:readOnly="false">
      <xsd:simpleType>
        <xsd:restriction base="dms:DateTime"/>
      </xsd:simpleType>
    </xsd:element>
    <xsd:element name="InProjectListLookup" ma:index="45" nillable="true" ma:displayName="InProjectListLookup" ma:list="{7E2D4CA2-442A-4FDA-AA57-71B8C7B2C53C}" ma:internalName="InProjectListLookup" ma:readOnly="true" ma:showField="InProjectList" ma:web="6d93d202-47fc-4405-873a-cab67cc5f1b2">
      <xsd:complexType>
        <xsd:complexContent>
          <xsd:extension base="dms:MultiChoiceLookup">
            <xsd:sequence>
              <xsd:element name="Value" type="dms:Lookup" maxOccurs="unbounded" minOccurs="0" nillable="true"/>
            </xsd:sequence>
          </xsd:extension>
        </xsd:complexContent>
      </xsd:complexType>
    </xsd:element>
    <xsd:element name="TPInstallLocation" ma:index="46" nillable="true" ma:displayName="Install Location" ma:default="" ma:internalName="TPInstallLocation">
      <xsd:simpleType>
        <xsd:restriction base="dms:Text"/>
      </xsd:simpleType>
    </xsd:element>
    <xsd:element name="InternalTagsTaxHTField0" ma:index="48" nillable="true" ma:taxonomy="true" ma:internalName="InternalTagsTaxHTField0" ma:taxonomyFieldName="InternalTags" ma:displayName="Internal Tags" ma:readOnly="false" ma:default="" ma:fieldId="{fd9a49dc-3dbf-4047-b62d-1d587abe7b40}"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9" nillable="true" ma:displayName="Intl Lang QA Review Required?" ma:default="" ma:internalName="IntlLangReview" ma:readOnly="false">
      <xsd:simpleType>
        <xsd:restriction base="dms:Boolean"/>
      </xsd:simpleType>
    </xsd:element>
    <xsd:element name="IntlLangReviewer" ma:index="50" nillable="true" ma:displayName="Intl Lang QA Reviewer" ma:default="" ma:internalName="IntlLangReviewer" ma:readOnly="false">
      <xsd:simpleType>
        <xsd:restriction base="dms:Text"/>
      </xsd:simpleType>
    </xsd:element>
    <xsd:element name="MarketSpecific" ma:index="51" nillable="true" ma:displayName="Is Market Specific?" ma:default="" ma:internalName="MarketSpecific" ma:readOnly="false">
      <xsd:simpleType>
        <xsd:restriction base="dms:Boolean"/>
      </xsd:simpleType>
    </xsd:element>
    <xsd:element name="LastCompleteVersionLookup" ma:index="52" nillable="true" ma:displayName="Last Complete Version Lookup" ma:default="" ma:list="{7E2D4CA2-442A-4FDA-AA57-71B8C7B2C53C}" ma:internalName="LastCompleteVersionLookup" ma:readOnly="true" ma:showField="LastCompleteVersion" ma:web="6d93d202-47fc-4405-873a-cab67cc5f1b2">
      <xsd:complexType>
        <xsd:complexContent>
          <xsd:extension base="dms:MultiChoiceLookup">
            <xsd:sequence>
              <xsd:element name="Value" type="dms:Lookup" maxOccurs="unbounded" minOccurs="0" nillable="true"/>
            </xsd:sequence>
          </xsd:extension>
        </xsd:complexContent>
      </xsd:complexType>
    </xsd:element>
    <xsd:element name="LastHandOff" ma:index="53" nillable="true" ma:displayName="Last Hand-off" ma:default="" ma:internalName="LastHandOff" ma:readOnly="false">
      <xsd:simpleType>
        <xsd:restriction base="dms:DateTime"/>
      </xsd:simpleType>
    </xsd:element>
    <xsd:element name="LastModifiedDateTime" ma:index="54" nillable="true" ma:displayName="Last Modified Date" ma:default="" ma:internalName="LastModifiedDateTime" ma:readOnly="false">
      <xsd:simpleType>
        <xsd:restriction base="dms:DateTime"/>
      </xsd:simpleType>
    </xsd:element>
    <xsd:element name="LastPreviewErrorLookup" ma:index="55" nillable="true" ma:displayName="Last Preview Attempt Error" ma:default="" ma:list="{7E2D4CA2-442A-4FDA-AA57-71B8C7B2C53C}" ma:internalName="LastPreviewErrorLookup" ma:readOnly="true" ma:showField="LastPreviewError" ma:web="6d93d202-47fc-4405-873a-cab67cc5f1b2">
      <xsd:complexType>
        <xsd:complexContent>
          <xsd:extension base="dms:MultiChoiceLookup">
            <xsd:sequence>
              <xsd:element name="Value" type="dms:Lookup" maxOccurs="unbounded" minOccurs="0" nillable="true"/>
            </xsd:sequence>
          </xsd:extension>
        </xsd:complexContent>
      </xsd:complexType>
    </xsd:element>
    <xsd:element name="LastPreviewResultLookup" ma:index="56" nillable="true" ma:displayName="Last Preview Attempt Result" ma:default="" ma:list="{7E2D4CA2-442A-4FDA-AA57-71B8C7B2C53C}" ma:internalName="LastPreviewResultLookup" ma:readOnly="true" ma:showField="LastPreviewResult" ma:web="6d93d202-47fc-4405-873a-cab67cc5f1b2">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7" nillable="true" ma:displayName="Last Preview Attempted On" ma:default="" ma:list="{7E2D4CA2-442A-4FDA-AA57-71B8C7B2C53C}" ma:internalName="LastPreviewAttemptDateLookup" ma:readOnly="true" ma:showField="LastPreviewAttemptDate" ma:web="6d93d202-47fc-4405-873a-cab67cc5f1b2">
      <xsd:complexType>
        <xsd:complexContent>
          <xsd:extension base="dms:MultiChoiceLookup">
            <xsd:sequence>
              <xsd:element name="Value" type="dms:Lookup" maxOccurs="unbounded" minOccurs="0" nillable="true"/>
            </xsd:sequence>
          </xsd:extension>
        </xsd:complexContent>
      </xsd:complexType>
    </xsd:element>
    <xsd:element name="LastPreviewedByLookup" ma:index="58" nillable="true" ma:displayName="Last Previewed By" ma:default="" ma:list="{7E2D4CA2-442A-4FDA-AA57-71B8C7B2C53C}" ma:internalName="LastPreviewedByLookup" ma:readOnly="true" ma:showField="LastPreviewedBy" ma:web="6d93d202-47fc-4405-873a-cab67cc5f1b2">
      <xsd:complexType>
        <xsd:complexContent>
          <xsd:extension base="dms:MultiChoiceLookup">
            <xsd:sequence>
              <xsd:element name="Value" type="dms:Lookup" maxOccurs="unbounded" minOccurs="0" nillable="true"/>
            </xsd:sequence>
          </xsd:extension>
        </xsd:complexContent>
      </xsd:complexType>
    </xsd:element>
    <xsd:element name="LastPreviewTimeLookup" ma:index="59" nillable="true" ma:displayName="Last Previewed Date" ma:default="" ma:list="{7E2D4CA2-442A-4FDA-AA57-71B8C7B2C53C}" ma:internalName="LastPreviewTimeLookup" ma:readOnly="true" ma:showField="LastPreviewTime" ma:web="6d93d202-47fc-4405-873a-cab67cc5f1b2">
      <xsd:complexType>
        <xsd:complexContent>
          <xsd:extension base="dms:MultiChoiceLookup">
            <xsd:sequence>
              <xsd:element name="Value" type="dms:Lookup" maxOccurs="unbounded" minOccurs="0" nillable="true"/>
            </xsd:sequence>
          </xsd:extension>
        </xsd:complexContent>
      </xsd:complexType>
    </xsd:element>
    <xsd:element name="LastPreviewVersionLookup" ma:index="60" nillable="true" ma:displayName="Last Previewed Version" ma:default="" ma:list="{7E2D4CA2-442A-4FDA-AA57-71B8C7B2C53C}" ma:internalName="LastPreviewVersionLookup" ma:readOnly="true" ma:showField="LastPreviewVersion" ma:web="6d93d202-47fc-4405-873a-cab67cc5f1b2">
      <xsd:complexType>
        <xsd:complexContent>
          <xsd:extension base="dms:MultiChoiceLookup">
            <xsd:sequence>
              <xsd:element name="Value" type="dms:Lookup" maxOccurs="unbounded" minOccurs="0" nillable="true"/>
            </xsd:sequence>
          </xsd:extension>
        </xsd:complexContent>
      </xsd:complexType>
    </xsd:element>
    <xsd:element name="LastPublishErrorLookup" ma:index="61" nillable="true" ma:displayName="Last Publish Attempt Error" ma:default="" ma:list="{7E2D4CA2-442A-4FDA-AA57-71B8C7B2C53C}" ma:internalName="LastPublishErrorLookup" ma:readOnly="true" ma:showField="LastPublishError" ma:web="6d93d202-47fc-4405-873a-cab67cc5f1b2">
      <xsd:complexType>
        <xsd:complexContent>
          <xsd:extension base="dms:MultiChoiceLookup">
            <xsd:sequence>
              <xsd:element name="Value" type="dms:Lookup" maxOccurs="unbounded" minOccurs="0" nillable="true"/>
            </xsd:sequence>
          </xsd:extension>
        </xsd:complexContent>
      </xsd:complexType>
    </xsd:element>
    <xsd:element name="LastPublishResultLookup" ma:index="62" nillable="true" ma:displayName="Last Publish Attempt Result" ma:default="" ma:list="{7E2D4CA2-442A-4FDA-AA57-71B8C7B2C53C}" ma:internalName="LastPublishResultLookup" ma:readOnly="true" ma:showField="LastPublishResult" ma:web="6d93d202-47fc-4405-873a-cab67cc5f1b2">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3" nillable="true" ma:displayName="Last Publish Attempted On" ma:default="" ma:list="{7E2D4CA2-442A-4FDA-AA57-71B8C7B2C53C}" ma:internalName="LastPublishAttemptDateLookup" ma:readOnly="true" ma:showField="LastPublishAttemptDate" ma:web="6d93d202-47fc-4405-873a-cab67cc5f1b2">
      <xsd:complexType>
        <xsd:complexContent>
          <xsd:extension base="dms:MultiChoiceLookup">
            <xsd:sequence>
              <xsd:element name="Value" type="dms:Lookup" maxOccurs="unbounded" minOccurs="0" nillable="true"/>
            </xsd:sequence>
          </xsd:extension>
        </xsd:complexContent>
      </xsd:complexType>
    </xsd:element>
    <xsd:element name="LastPublishedByLookup" ma:index="64" nillable="true" ma:displayName="Last Published By" ma:default="" ma:list="{7E2D4CA2-442A-4FDA-AA57-71B8C7B2C53C}" ma:internalName="LastPublishedByLookup" ma:readOnly="true" ma:showField="LastPublishedBy" ma:web="6d93d202-47fc-4405-873a-cab67cc5f1b2">
      <xsd:complexType>
        <xsd:complexContent>
          <xsd:extension base="dms:MultiChoiceLookup">
            <xsd:sequence>
              <xsd:element name="Value" type="dms:Lookup" maxOccurs="unbounded" minOccurs="0" nillable="true"/>
            </xsd:sequence>
          </xsd:extension>
        </xsd:complexContent>
      </xsd:complexType>
    </xsd:element>
    <xsd:element name="LastPublishTimeLookup" ma:index="65" nillable="true" ma:displayName="Last Published Date" ma:default="" ma:list="{7E2D4CA2-442A-4FDA-AA57-71B8C7B2C53C}" ma:internalName="LastPublishTimeLookup" ma:readOnly="true" ma:showField="LastPublishTime" ma:web="6d93d202-47fc-4405-873a-cab67cc5f1b2">
      <xsd:complexType>
        <xsd:complexContent>
          <xsd:extension base="dms:MultiChoiceLookup">
            <xsd:sequence>
              <xsd:element name="Value" type="dms:Lookup" maxOccurs="unbounded" minOccurs="0" nillable="true"/>
            </xsd:sequence>
          </xsd:extension>
        </xsd:complexContent>
      </xsd:complexType>
    </xsd:element>
    <xsd:element name="LastPublishVersionLookup" ma:index="66" nillable="true" ma:displayName="Last Published Version" ma:default="" ma:list="{7E2D4CA2-442A-4FDA-AA57-71B8C7B2C53C}" ma:internalName="LastPublishVersionLookup" ma:readOnly="true" ma:showField="LastPublishVersion" ma:web="6d93d202-47fc-4405-873a-cab67cc5f1b2">
      <xsd:complexType>
        <xsd:complexContent>
          <xsd:extension base="dms:MultiChoiceLookup">
            <xsd:sequence>
              <xsd:element name="Value" type="dms:Lookup" maxOccurs="unbounded" minOccurs="0" nillable="true"/>
            </xsd:sequence>
          </xsd:extension>
        </xsd:complexContent>
      </xsd:complexType>
    </xsd:element>
    <xsd:element name="TPLaunchHelpLinkType" ma:index="67"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8" nillable="true" ma:displayName="Legacy Data" ma:default="" ma:internalName="LegacyData" ma:readOnly="false">
      <xsd:simpleType>
        <xsd:restriction base="dms:Note"/>
      </xsd:simpleType>
    </xsd:element>
    <xsd:element name="TPLaunchHelpLink" ma:index="69" nillable="true" ma:displayName="Link to Launch Help Topic" ma:default="" ma:internalName="TPLaunchHelpLink">
      <xsd:simpleType>
        <xsd:restriction base="dms:Text"/>
      </xsd:simpleType>
    </xsd:element>
    <xsd:element name="LocComments" ma:index="70" nillable="true" ma:displayName="Loc Approval Comments" ma:default="" ma:internalName="LocComments" ma:readOnly="false">
      <xsd:simpleType>
        <xsd:restriction base="dms:Note"/>
      </xsd:simpleType>
    </xsd:element>
    <xsd:element name="LocLastLocAttemptVersionLookup" ma:index="71" nillable="true" ma:displayName="Loc Last Loc Attempt Version" ma:default="" ma:list="{4CDE398E-75A7-4993-8C61-2BFD31F64754}" ma:internalName="LocLastLocAttemptVersionLookup" ma:readOnly="false" ma:showField="LastLocAttemptVersion" ma:web="6d93d202-47fc-4405-873a-cab67cc5f1b2">
      <xsd:simpleType>
        <xsd:restriction base="dms:Lookup"/>
      </xsd:simpleType>
    </xsd:element>
    <xsd:element name="LocLastLocAttemptVersionTypeLookup" ma:index="72" nillable="true" ma:displayName="Loc Last Loc Attempt Version Type" ma:default="" ma:list="{4CDE398E-75A7-4993-8C61-2BFD31F64754}" ma:internalName="LocLastLocAttemptVersionTypeLookup" ma:readOnly="true" ma:showField="LastLocAttemptVersionType" ma:web="6d93d202-47fc-4405-873a-cab67cc5f1b2">
      <xsd:simpleType>
        <xsd:restriction base="dms:Lookup"/>
      </xsd:simpleType>
    </xsd:element>
    <xsd:element name="LocManualTestRequired" ma:index="73" nillable="true" ma:displayName="Loc Manual Test Required" ma:default="" ma:internalName="LocManualTestRequired" ma:readOnly="false">
      <xsd:simpleType>
        <xsd:restriction base="dms:Boolean"/>
      </xsd:simpleType>
    </xsd:element>
    <xsd:element name="LocMarketGroupTiers2" ma:index="74" nillable="true" ma:displayName="Loc Market Group Tiers" ma:internalName="LocMarketGroupTiers2" ma:readOnly="false">
      <xsd:simpleType>
        <xsd:restriction base="dms:Unknown"/>
      </xsd:simpleType>
    </xsd:element>
    <xsd:element name="LocNewPublishedVersionLookup" ma:index="75" nillable="true" ma:displayName="Loc New Published Version Lookup" ma:default="" ma:list="{4CDE398E-75A7-4993-8C61-2BFD31F64754}" ma:internalName="LocNewPublishedVersionLookup" ma:readOnly="true" ma:showField="NewPublishedVersion" ma:web="6d93d202-47fc-4405-873a-cab67cc5f1b2">
      <xsd:simpleType>
        <xsd:restriction base="dms:Lookup"/>
      </xsd:simpleType>
    </xsd:element>
    <xsd:element name="LocOverallHandbackStatusLookup" ma:index="76" nillable="true" ma:displayName="Loc Overall Handback Status" ma:default="" ma:list="{4CDE398E-75A7-4993-8C61-2BFD31F64754}" ma:internalName="LocOverallHandbackStatusLookup" ma:readOnly="true" ma:showField="OverallHandbackStatus" ma:web="6d93d202-47fc-4405-873a-cab67cc5f1b2">
      <xsd:simpleType>
        <xsd:restriction base="dms:Lookup"/>
      </xsd:simpleType>
    </xsd:element>
    <xsd:element name="LocOverallLocStatusLookup" ma:index="77" nillable="true" ma:displayName="Loc Overall Localize Status" ma:default="" ma:list="{4CDE398E-75A7-4993-8C61-2BFD31F64754}" ma:internalName="LocOverallLocStatusLookup" ma:readOnly="true" ma:showField="OverallLocStatus" ma:web="6d93d202-47fc-4405-873a-cab67cc5f1b2">
      <xsd:simpleType>
        <xsd:restriction base="dms:Lookup"/>
      </xsd:simpleType>
    </xsd:element>
    <xsd:element name="LocOverallPreviewStatusLookup" ma:index="78" nillable="true" ma:displayName="Loc Overall Preview Status" ma:default="" ma:list="{4CDE398E-75A7-4993-8C61-2BFD31F64754}" ma:internalName="LocOverallPreviewStatusLookup" ma:readOnly="true" ma:showField="OverallPreviewStatus" ma:web="6d93d202-47fc-4405-873a-cab67cc5f1b2">
      <xsd:simpleType>
        <xsd:restriction base="dms:Lookup"/>
      </xsd:simpleType>
    </xsd:element>
    <xsd:element name="LocOverallPublishStatusLookup" ma:index="79" nillable="true" ma:displayName="Loc Overall Publish Status" ma:default="" ma:list="{4CDE398E-75A7-4993-8C61-2BFD31F64754}" ma:internalName="LocOverallPublishStatusLookup" ma:readOnly="true" ma:showField="OverallPublishStatus" ma:web="6d93d202-47fc-4405-873a-cab67cc5f1b2">
      <xsd:simpleType>
        <xsd:restriction base="dms:Lookup"/>
      </xsd:simpleType>
    </xsd:element>
    <xsd:element name="IntlLocPriority" ma:index="80" nillable="true" ma:displayName="Loc Priority" ma:default="" ma:internalName="IntlLocPriority" ma:readOnly="false">
      <xsd:simpleType>
        <xsd:restriction base="dms:Unknown"/>
      </xsd:simpleType>
    </xsd:element>
    <xsd:element name="LocProcessedForHandoffsLookup" ma:index="81" nillable="true" ma:displayName="Loc Processed For Handoffs" ma:default="" ma:list="{4CDE398E-75A7-4993-8C61-2BFD31F64754}" ma:internalName="LocProcessedForHandoffsLookup" ma:readOnly="true" ma:showField="ProcessedForHandoffs" ma:web="6d93d202-47fc-4405-873a-cab67cc5f1b2">
      <xsd:simpleType>
        <xsd:restriction base="dms:Lookup"/>
      </xsd:simpleType>
    </xsd:element>
    <xsd:element name="LocProcessedForMarketsLookup" ma:index="82" nillable="true" ma:displayName="Loc Processed For Markets" ma:default="" ma:list="{4CDE398E-75A7-4993-8C61-2BFD31F64754}" ma:internalName="LocProcessedForMarketsLookup" ma:readOnly="true" ma:showField="ProcessedForMarkets" ma:web="6d93d202-47fc-4405-873a-cab67cc5f1b2">
      <xsd:simpleType>
        <xsd:restriction base="dms:Lookup"/>
      </xsd:simpleType>
    </xsd:element>
    <xsd:element name="LocPublishedDependentAssetsLookup" ma:index="83" nillable="true" ma:displayName="Loc Published Dependent Assets" ma:default="" ma:list="{4CDE398E-75A7-4993-8C61-2BFD31F64754}" ma:internalName="LocPublishedDependentAssetsLookup" ma:readOnly="true" ma:showField="PublishedDependentAssets" ma:web="6d93d202-47fc-4405-873a-cab67cc5f1b2">
      <xsd:simpleType>
        <xsd:restriction base="dms:Lookup"/>
      </xsd:simpleType>
    </xsd:element>
    <xsd:element name="LocPublishedLinkedAssetsLookup" ma:index="84" nillable="true" ma:displayName="Loc Published Linked Assets" ma:default="" ma:list="{4CDE398E-75A7-4993-8C61-2BFD31F64754}" ma:internalName="LocPublishedLinkedAssetsLookup" ma:readOnly="true" ma:showField="PublishedLinkedAssets" ma:web="6d93d202-47fc-4405-873a-cab67cc5f1b2">
      <xsd:simpleType>
        <xsd:restriction base="dms:Lookup"/>
      </xsd:simpleType>
    </xsd:element>
    <xsd:element name="LocRecommendedHandoff" ma:index="85" nillable="true" ma:displayName="Loc Recommended Handoff" ma:default="" ma:indexed="true" ma:internalName="LocRecommendedHandoff" ma:readOnly="false">
      <xsd:simpleType>
        <xsd:restriction base="dms:Text"/>
      </xsd:simpleType>
    </xsd:element>
    <xsd:element name="LocalizationTagsTaxHTField0" ma:index="87" nillable="true" ma:taxonomy="true" ma:internalName="LocalizationTagsTaxHTField0" ma:taxonomyFieldName="LocalizationTags" ma:displayName="Localization Tags" ma:readOnly="false" ma:default="" ma:fieldId="{db560eb5-700a-4f94-8fda-b57de4261f12}"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8" nillable="true" ma:displayName="Machine Translated" ma:default="" ma:internalName="MachineTranslated" ma:readOnly="false">
      <xsd:simpleType>
        <xsd:restriction base="dms:Boolean"/>
      </xsd:simpleType>
    </xsd:element>
    <xsd:element name="Manager" ma:index="89" nillable="true" ma:displayName="Manager" ma:hidden="true" ma:internalName="Manager" ma:readOnly="false">
      <xsd:simpleType>
        <xsd:restriction base="dms:Text"/>
      </xsd:simpleType>
    </xsd:element>
    <xsd:element name="Markets" ma:index="90" nillable="true" ma:displayName="Markets" ma:default="" ma:description="Leave blank to show in all markets" ma:list="{80C6DD30-196A-4C6B-B1BF-A43F3B8ACD4F}" ma:internalName="Markets" ma:readOnly="false" ma:showField="MarketName" ma:web="6d93d202-47fc-4405-873a-cab67cc5f1b2">
      <xsd:complexType>
        <xsd:complexContent>
          <xsd:extension base="dms:MultiChoiceLookup">
            <xsd:sequence>
              <xsd:element name="Value" type="dms:Lookup" maxOccurs="unbounded" minOccurs="0" nillable="true"/>
            </xsd:sequence>
          </xsd:extension>
        </xsd:complexContent>
      </xsd:complexType>
    </xsd:element>
    <xsd:element name="Milestone" ma:index="91" nillable="true" ma:displayName="Milestone" ma:default="" ma:internalName="Milestone" ma:readOnly="false">
      <xsd:simpleType>
        <xsd:restriction base="dms:Unknown"/>
      </xsd:simpleType>
    </xsd:element>
    <xsd:element name="TPNamespace" ma:index="94" nillable="true" ma:displayName="Namespace" ma:default="" ma:internalName="TPNamespace">
      <xsd:simpleType>
        <xsd:restriction base="dms:Text"/>
      </xsd:simpleType>
    </xsd:element>
    <xsd:element name="NumericId" ma:index="95" nillable="true" ma:displayName="Numeric ID" ma:default="" ma:indexed="true" ma:internalName="NumericId" ma:readOnly="false">
      <xsd:simpleType>
        <xsd:restriction base="dms:Number"/>
      </xsd:simpleType>
    </xsd:element>
    <xsd:element name="NumOfRatingsLookup" ma:index="96" nillable="true" ma:displayName="NumOfRatings" ma:default="" ma:list="{7E2D4CA2-442A-4FDA-AA57-71B8C7B2C53C}" ma:internalName="NumOfRatingsLookup" ma:readOnly="true" ma:showField="NumOfRatings" ma:web="6d93d202-47fc-4405-873a-cab67cc5f1b2">
      <xsd:complexType>
        <xsd:complexContent>
          <xsd:extension base="dms:MultiChoiceLookup">
            <xsd:sequence>
              <xsd:element name="Value" type="dms:Lookup" maxOccurs="unbounded" minOccurs="0" nillable="true"/>
            </xsd:sequence>
          </xsd:extension>
        </xsd:complexContent>
      </xsd:complexType>
    </xsd:element>
    <xsd:element name="OOCacheId" ma:index="97" nillable="true" ma:displayName="OOCacheId" ma:internalName="OOCacheId" ma:readOnly="false">
      <xsd:simpleType>
        <xsd:restriction base="dms:Text"/>
      </xsd:simpleType>
    </xsd:element>
    <xsd:element name="OpenTemplate" ma:index="98" nillable="true" ma:displayName="Open Template" ma:default="true" ma:internalName="OpenTemplate">
      <xsd:simpleType>
        <xsd:restriction base="dms:Boolean"/>
      </xsd:simpleType>
    </xsd:element>
    <xsd:element name="OriginAsset" ma:index="99" nillable="true" ma:displayName="Origin Asset" ma:default="" ma:internalName="OriginAsset" ma:readOnly="false">
      <xsd:simpleType>
        <xsd:restriction base="dms:Text"/>
      </xsd:simpleType>
    </xsd:element>
    <xsd:element name="OriginalRelease" ma:index="100"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1" nillable="true" ma:displayName="Original Source Market Group" ma:default="" ma:internalName="OriginalSourceMarket" ma:readOnly="false">
      <xsd:simpleType>
        <xsd:restriction base="dms:Text"/>
      </xsd:simpleType>
    </xsd:element>
    <xsd:element name="OutputCachingOn" ma:index="102" nillable="true" ma:displayName="Output Caching" ma:default="true" ma:hidden="true" ma:internalName="OutputCachingOn" ma:readOnly="false">
      <xsd:simpleType>
        <xsd:restriction base="dms:Boolean"/>
      </xsd:simpleType>
    </xsd:element>
    <xsd:element name="ParentAssetId" ma:index="103" nillable="true" ma:displayName="Parent Asset Id" ma:default="" ma:internalName="ParentAssetId" ma:readOnly="false">
      <xsd:simpleType>
        <xsd:restriction base="dms:Text"/>
      </xsd:simpleType>
    </xsd:element>
    <xsd:element name="PlannedPubDate" ma:index="104" nillable="true" ma:displayName="Planned Publish Date" ma:default="" ma:indexed="true" ma:internalName="PlannedPubDate" ma:readOnly="false">
      <xsd:simpleType>
        <xsd:restriction base="dms:DateTime"/>
      </xsd:simpleType>
    </xsd:element>
    <xsd:element name="PolicheckWords" ma:index="105" nillable="true" ma:displayName="Policheck Words" ma:default="" ma:internalName="PolicheckWords" ma:readOnly="false">
      <xsd:simpleType>
        <xsd:restriction base="dms:Text"/>
      </xsd:simpleType>
    </xsd:element>
    <xsd:element name="BusinessGroup" ma:index="106" nillable="true" ma:displayName="Product Division Owner" ma:default="" ma:internalName="BusinessGroup" ma:readOnly="false">
      <xsd:simpleType>
        <xsd:restriction base="dms:Unknown"/>
      </xsd:simpleType>
    </xsd:element>
    <xsd:element name="UAProjectedTotalWords" ma:index="107" nillable="true" ma:displayName="Projected Word Count" ma:default="" ma:internalName="UAProjectedTotalWords" ma:readOnly="false">
      <xsd:simpleType>
        <xsd:restriction base="dms:Unknown"/>
      </xsd:simpleType>
    </xsd:element>
    <xsd:element name="Provider" ma:index="108" nillable="true" ma:displayName="Provider" ma:default="" ma:internalName="Provider" ma:readOnly="false">
      <xsd:simpleType>
        <xsd:restriction base="dms:Unknown"/>
      </xsd:simpleType>
    </xsd:element>
    <xsd:element name="Providers" ma:index="109" nillable="true" ma:displayName="Providers" ma:default="" ma:internalName="Providers">
      <xsd:simpleType>
        <xsd:restriction base="dms:Unknown"/>
      </xsd:simpleType>
    </xsd:element>
    <xsd:element name="PublishStatusLookup" ma:index="110" nillable="true" ma:displayName="Publish Status" ma:default="" ma:list="{7E2D4CA2-442A-4FDA-AA57-71B8C7B2C53C}" ma:internalName="PublishStatusLookup" ma:readOnly="false" ma:showField="PublishStatus" ma:web="6d93d202-47fc-4405-873a-cab67cc5f1b2">
      <xsd:complexType>
        <xsd:complexContent>
          <xsd:extension base="dms:MultiChoiceLookup">
            <xsd:sequence>
              <xsd:element name="Value" type="dms:Lookup" maxOccurs="unbounded" minOccurs="0" nillable="true"/>
            </xsd:sequence>
          </xsd:extension>
        </xsd:complexContent>
      </xsd:complexType>
    </xsd:element>
    <xsd:element name="PublishTargets" ma:index="111" nillable="true" ma:displayName="Publish Target" ma:default="OfficeOnlineVNext" ma:internalName="PublishTargets" ma:readOnly="false">
      <xsd:simpleType>
        <xsd:restriction base="dms:Unknown"/>
      </xsd:simpleType>
    </xsd:element>
    <xsd:element name="RecommendationsModifier" ma:index="112" nillable="true" ma:displayName="Recommendations Modifier" ma:default="" ma:internalName="RecommendationsModifier" ma:readOnly="false">
      <xsd:simpleType>
        <xsd:restriction base="dms:Number"/>
      </xsd:simpleType>
    </xsd:element>
    <xsd:element name="ArtSampleDocs" ma:index="113" nillable="true" ma:displayName="Sample Docs" ma:default="" ma:hidden="true" ma:internalName="ArtSampleDocs" ma:readOnly="false">
      <xsd:simpleType>
        <xsd:restriction base="dms:Text"/>
      </xsd:simpleType>
    </xsd:element>
    <xsd:element name="ScenarioTagsTaxHTField0" ma:index="115" nillable="true" ma:taxonomy="true" ma:internalName="ScenarioTagsTaxHTField0" ma:taxonomyFieldName="ScenarioTags" ma:displayName="Scenarios" ma:readOnly="false" ma:default="" ma:fieldId="{6e3f7319-fb8f-4449-8902-000ab73a8566}"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7"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8" nillable="true" ma:displayName="Source Title" ma:default="" ma:indexed="true" ma:internalName="SourceTitle" ma:readOnly="false">
      <xsd:simpleType>
        <xsd:restriction base="dms:Text"/>
      </xsd:simpleType>
    </xsd:element>
    <xsd:element name="CSXSubmissionDate" ma:index="119" nillable="true" ma:displayName="Submission Date" ma:default="" ma:internalName="CSXSubmissionDate" ma:readOnly="false">
      <xsd:simpleType>
        <xsd:restriction base="dms:DateTime"/>
      </xsd:simpleType>
    </xsd:element>
    <xsd:element name="SubmitterId" ma:index="120" nillable="true" ma:displayName="Submitter ID" ma:default="" ma:internalName="SubmitterId" ma:readOnly="false">
      <xsd:simpleType>
        <xsd:restriction base="dms:Text"/>
      </xsd:simpleType>
    </xsd:element>
    <xsd:element name="TaxCatchAll" ma:index="121" nillable="true" ma:displayName="Taxonomy Catch All Column" ma:hidden="true" ma:list="{11d213f5-ec09-44b6-a8be-9da225be7a8d}" ma:internalName="TaxCatchAll" ma:showField="CatchAllData" ma:web="6d93d202-47fc-4405-873a-cab67cc5f1b2">
      <xsd:complexType>
        <xsd:complexContent>
          <xsd:extension base="dms:MultiChoiceLookup">
            <xsd:sequence>
              <xsd:element name="Value" type="dms:Lookup" maxOccurs="unbounded" minOccurs="0" nillable="true"/>
            </xsd:sequence>
          </xsd:extension>
        </xsd:complexContent>
      </xsd:complexType>
    </xsd:element>
    <xsd:element name="TaxCatchAllLabel" ma:index="122" nillable="true" ma:displayName="Taxonomy Catch All Column1" ma:hidden="true" ma:list="{11d213f5-ec09-44b6-a8be-9da225be7a8d}" ma:internalName="TaxCatchAllLabel" ma:readOnly="true" ma:showField="CatchAllDataLabel" ma:web="6d93d202-47fc-4405-873a-cab67cc5f1b2">
      <xsd:complexType>
        <xsd:complexContent>
          <xsd:extension base="dms:MultiChoiceLookup">
            <xsd:sequence>
              <xsd:element name="Value" type="dms:Lookup" maxOccurs="unbounded" minOccurs="0" nillable="true"/>
            </xsd:sequence>
          </xsd:extension>
        </xsd:complexContent>
      </xsd:complexType>
    </xsd:element>
    <xsd:element name="TemplateStatus" ma:index="123" nillable="true" ma:displayName="Template Status" ma:default="" ma:internalName="TemplateStatus">
      <xsd:simpleType>
        <xsd:restriction base="dms:Unknown"/>
      </xsd:simpleType>
    </xsd:element>
    <xsd:element name="TemplateTemplateType" ma:index="124" nillable="true" ma:displayName="Template Type" ma:default="" ma:internalName="TemplateTemplateType">
      <xsd:simpleType>
        <xsd:restriction base="dms:Unknown"/>
      </xsd:simpleType>
    </xsd:element>
    <xsd:element name="ThumbnailAssetId" ma:index="125" nillable="true" ma:displayName="Thumbnail Image Asset" ma:default="" ma:internalName="ThumbnailAssetId" ma:readOnly="false">
      <xsd:simpleType>
        <xsd:restriction base="dms:Text"/>
      </xsd:simpleType>
    </xsd:element>
    <xsd:element name="TimesCloned" ma:index="126" nillable="true" ma:displayName="Times Cloned" ma:default="" ma:internalName="TimesCloned" ma:readOnly="false">
      <xsd:simpleType>
        <xsd:restriction base="dms:Number"/>
      </xsd:simpleType>
    </xsd:element>
    <xsd:element name="TrustLevel" ma:index="128" nillable="true" ma:displayName="Trust Level" ma:default="1 Microsoft Managed Content" ma:internalName="TrustLevel" ma:readOnly="false">
      <xsd:simpleType>
        <xsd:restriction base="dms:Unknown"/>
      </xsd:simpleType>
    </xsd:element>
    <xsd:element name="UALocComments" ma:index="129" nillable="true" ma:displayName="UA Loc Comments" ma:default="" ma:internalName="UALocComments" ma:readOnly="false">
      <xsd:simpleType>
        <xsd:restriction base="dms:Note"/>
      </xsd:simpleType>
    </xsd:element>
    <xsd:element name="UALocRecommendation" ma:index="130"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1" nillable="true" ma:displayName="UA Notes" ma:default="" ma:internalName="UANotes" ma:readOnly="false">
      <xsd:simpleType>
        <xsd:restriction base="dms:Note"/>
      </xsd:simpleType>
    </xsd:element>
    <xsd:element name="TPAppVersion" ma:index="132" nillable="true" ma:displayName="Version" ma:default="" ma:internalName="TPAppVersion">
      <xsd:simpleType>
        <xsd:restriction base="dms:Text"/>
      </xsd:simpleType>
    </xsd:element>
    <xsd:element name="VoteCount" ma:index="133" nillable="true" ma:displayName="Vote Count" ma:default="" ma:internalName="VoteCount"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4acb2c5-0a2b-4bda-bd34-58e36cbb80d2" elementFormDefault="qualified">
    <xsd:import namespace="http://schemas.microsoft.com/office/2006/documentManagement/types"/>
    <xsd:import namespace="http://schemas.microsoft.com/office/infopath/2007/PartnerControls"/>
    <xsd:element name="Description0" ma:index="134" nillable="true" ma:displayName="Description" ma:internalName="Description0">
      <xsd:simpleType>
        <xsd:restriction base="dms:Note"/>
      </xsd:simpleType>
    </xsd:element>
    <xsd:element name="Component" ma:index="135" nillable="true" ma:displayName="Component" ma:internalName="Component">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12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8F49177-07E4-4945-8B2E-E6385401DEBD}">
  <ds:schemaRefs>
    <ds:schemaRef ds:uri="http://schemas.openxmlformats.org/package/2006/metadata/core-properties"/>
    <ds:schemaRef ds:uri="http://purl.org/dc/terms/"/>
    <ds:schemaRef ds:uri="6d93d202-47fc-4405-873a-cab67cc5f1b2"/>
    <ds:schemaRef ds:uri="http://schemas.microsoft.com/office/2006/documentManagement/types"/>
    <ds:schemaRef ds:uri="http://schemas.microsoft.com/office/2006/metadata/properties"/>
    <ds:schemaRef ds:uri="http://purl.org/dc/elements/1.1/"/>
    <ds:schemaRef ds:uri="http://schemas.microsoft.com/office/infopath/2007/PartnerControls"/>
    <ds:schemaRef ds:uri="64acb2c5-0a2b-4bda-bd34-58e36cbb80d2"/>
    <ds:schemaRef ds:uri="http://www.w3.org/XML/1998/namespace"/>
    <ds:schemaRef ds:uri="http://purl.org/dc/dcmitype/"/>
  </ds:schemaRefs>
</ds:datastoreItem>
</file>

<file path=customXml/itemProps2.xml><?xml version="1.0" encoding="utf-8"?>
<ds:datastoreItem xmlns:ds="http://schemas.openxmlformats.org/officeDocument/2006/customXml" ds:itemID="{06CD18CD-13F4-472B-B1AB-DDBE2AC449C0}">
  <ds:schemaRefs>
    <ds:schemaRef ds:uri="http://schemas.microsoft.com/sharepoint/v3/contenttype/forms"/>
  </ds:schemaRefs>
</ds:datastoreItem>
</file>

<file path=customXml/itemProps3.xml><?xml version="1.0" encoding="utf-8"?>
<ds:datastoreItem xmlns:ds="http://schemas.openxmlformats.org/officeDocument/2006/customXml" ds:itemID="{F38648A1-E16D-4B85-8B5E-D637DFA87A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93d202-47fc-4405-873a-cab67cc5f1b2"/>
    <ds:schemaRef ds:uri="64acb2c5-0a2b-4bda-bd34-58e36cbb80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26</vt:i4>
      </vt:variant>
    </vt:vector>
  </HeadingPairs>
  <TitlesOfParts>
    <vt:vector size="40" baseType="lpstr">
      <vt:lpstr>Comment utiliser ce modèle</vt:lpstr>
      <vt:lpstr>lista catequizandos</vt:lpstr>
      <vt:lpstr>Primeros pasos</vt:lpstr>
      <vt:lpstr>Caminando con Jesús</vt:lpstr>
      <vt:lpstr>Amigos de Jesús</vt:lpstr>
      <vt:lpstr>PC-GP1</vt:lpstr>
      <vt:lpstr>PC-GP2</vt:lpstr>
      <vt:lpstr>PC-GP3</vt:lpstr>
      <vt:lpstr>PC-GP4</vt:lpstr>
      <vt:lpstr>Confirmación</vt:lpstr>
      <vt:lpstr>Confirmación adultos</vt:lpstr>
      <vt:lpstr>Padres de familia</vt:lpstr>
      <vt:lpstr>Rapport de présence des élèves</vt:lpstr>
      <vt:lpstr>Août</vt:lpstr>
      <vt:lpstr>AnnéeCivile</vt:lpstr>
      <vt:lpstr>Code1</vt:lpstr>
      <vt:lpstr>Code2</vt:lpstr>
      <vt:lpstr>Code3</vt:lpstr>
      <vt:lpstr>Code4</vt:lpstr>
      <vt:lpstr>Code5</vt:lpstr>
      <vt:lpstr>'Amigos de Jesús'!IDÉtudiant</vt:lpstr>
      <vt:lpstr>'Caminando con Jesús'!IDÉtudiant</vt:lpstr>
      <vt:lpstr>Confirmación!IDÉtudiant</vt:lpstr>
      <vt:lpstr>'Confirmación adultos'!IDÉtudiant</vt:lpstr>
      <vt:lpstr>'Padres de familia'!IDÉtudiant</vt:lpstr>
      <vt:lpstr>'PC-GP1'!IDÉtudiant</vt:lpstr>
      <vt:lpstr>'PC-GP2'!IDÉtudiant</vt:lpstr>
      <vt:lpstr>'PC-GP3'!IDÉtudiant</vt:lpstr>
      <vt:lpstr>'PC-GP4'!IDÉtudiant</vt:lpstr>
      <vt:lpstr>'Primeros pasos'!IDÉtudiant</vt:lpstr>
      <vt:lpstr>IDÉtudiant</vt:lpstr>
      <vt:lpstr>'Padres de familia'!Impression_des_titres</vt:lpstr>
      <vt:lpstr>RechercheÉtudiant</vt:lpstr>
      <vt:lpstr>TexteCléDeCouleur</vt:lpstr>
      <vt:lpstr>TexteCode1</vt:lpstr>
      <vt:lpstr>TexteCode2</vt:lpstr>
      <vt:lpstr>TexteCode3</vt:lpstr>
      <vt:lpstr>TexteCode4</vt:lpstr>
      <vt:lpstr>TexteCode5</vt:lpstr>
      <vt:lpstr>'lista catequizandos'!Titres_à_imprimer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Azucena Rios</dc:creator>
  <cp:lastModifiedBy>Azucena Rios</cp:lastModifiedBy>
  <cp:lastPrinted>2019-09-26T19:53:19Z</cp:lastPrinted>
  <dcterms:created xsi:type="dcterms:W3CDTF">2011-04-01T16:06:21Z</dcterms:created>
  <dcterms:modified xsi:type="dcterms:W3CDTF">2019-12-21T17:53:40Z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ternalTags">
    <vt:lpwstr/>
  </property>
  <property fmtid="{D5CDD505-2E9C-101B-9397-08002B2CF9AE}" pid="3" name="ContentTypeId">
    <vt:lpwstr>0x01010069924D1ECC420D47A2456556BC94F7370400BDF4491DEA4973499845289601F88B9F</vt:lpwstr>
  </property>
  <property fmtid="{D5CDD505-2E9C-101B-9397-08002B2CF9AE}" pid="4" name="FeatureTags">
    <vt:lpwstr/>
  </property>
  <property fmtid="{D5CDD505-2E9C-101B-9397-08002B2CF9AE}" pid="5" name="LocalizationTags">
    <vt:lpwstr/>
  </property>
  <property fmtid="{D5CDD505-2E9C-101B-9397-08002B2CF9AE}" pid="6" name="ScenarioTags">
    <vt:lpwstr/>
  </property>
  <property fmtid="{D5CDD505-2E9C-101B-9397-08002B2CF9AE}" pid="7" name="CampaignTags">
    <vt:lpwstr/>
  </property>
  <property fmtid="{D5CDD505-2E9C-101B-9397-08002B2CF9AE}" pid="8" name="Order">
    <vt:r8>9329300</vt:r8>
  </property>
  <property fmtid="{D5CDD505-2E9C-101B-9397-08002B2CF9AE}" pid="9" name="HiddenCategoryTags">
    <vt:lpwstr/>
  </property>
  <property fmtid="{D5CDD505-2E9C-101B-9397-08002B2CF9AE}" pid="10" name="ImageGenStatus">
    <vt:i4>0</vt:i4>
  </property>
  <property fmtid="{D5CDD505-2E9C-101B-9397-08002B2CF9AE}" pid="11" name="CategoryTags">
    <vt:lpwstr/>
  </property>
  <property fmtid="{D5CDD505-2E9C-101B-9397-08002B2CF9AE}" pid="12" name="Applications">
    <vt:lpwstr/>
  </property>
</Properties>
</file>